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9301" lockStructure="1"/>
  <bookViews>
    <workbookView xWindow="240" yWindow="105" windowWidth="14805" windowHeight="8010"/>
  </bookViews>
  <sheets>
    <sheet name="入力フォーム" sheetId="3" r:id="rId1"/>
    <sheet name="計算結果" sheetId="2" r:id="rId2"/>
  </sheets>
  <definedNames>
    <definedName name="_xlnm.Print_Area" localSheetId="1">計算結果!$B$1:$P$58</definedName>
  </definedNames>
  <calcPr calcId="152511"/>
</workbook>
</file>

<file path=xl/calcChain.xml><?xml version="1.0" encoding="utf-8"?>
<calcChain xmlns="http://schemas.openxmlformats.org/spreadsheetml/2006/main">
  <c r="G9" i="3" l="1"/>
  <c r="G35" i="3" l="1"/>
  <c r="G24" i="3"/>
  <c r="G3" i="2" l="1"/>
  <c r="E27" i="3" l="1"/>
  <c r="E28" i="3"/>
  <c r="G32" i="3"/>
  <c r="H32" i="3" s="1"/>
  <c r="H35" i="3" l="1"/>
  <c r="E55" i="3" l="1"/>
  <c r="E56" i="3"/>
  <c r="E54" i="3"/>
  <c r="G15" i="3" l="1"/>
  <c r="E53" i="3"/>
  <c r="I12" i="3" s="1"/>
  <c r="E5" i="2" l="1"/>
  <c r="J5" i="2"/>
  <c r="H5" i="2"/>
  <c r="F5" i="2"/>
  <c r="J55" i="2" s="1"/>
  <c r="D5" i="2"/>
  <c r="C5" i="2"/>
  <c r="H24" i="3"/>
  <c r="E35" i="3"/>
  <c r="E7" i="3"/>
  <c r="G18" i="3" s="1"/>
  <c r="E48" i="3" l="1"/>
  <c r="E47" i="3"/>
  <c r="B17" i="2"/>
  <c r="B37" i="2"/>
  <c r="B27" i="2"/>
  <c r="B54" i="2"/>
  <c r="J33" i="2"/>
  <c r="J17" i="2"/>
  <c r="B19" i="2"/>
  <c r="B47" i="2"/>
  <c r="J26" i="2"/>
  <c r="B11" i="2"/>
  <c r="E11" i="2" s="1"/>
  <c r="B34" i="2"/>
  <c r="B55" i="2"/>
  <c r="B10" i="2"/>
  <c r="B26" i="2"/>
  <c r="B43" i="2"/>
  <c r="J15" i="2"/>
  <c r="J44" i="2"/>
  <c r="B14" i="2"/>
  <c r="B21" i="2"/>
  <c r="B29" i="2"/>
  <c r="B39" i="2"/>
  <c r="B49" i="2"/>
  <c r="J10" i="2"/>
  <c r="J22" i="2"/>
  <c r="J34" i="2"/>
  <c r="J53" i="2"/>
  <c r="B9" i="2"/>
  <c r="C9" i="2" s="1"/>
  <c r="B15" i="2"/>
  <c r="B22" i="2"/>
  <c r="B33" i="2"/>
  <c r="B42" i="2"/>
  <c r="B50" i="2"/>
  <c r="J13" i="2"/>
  <c r="J25" i="2"/>
  <c r="J38" i="2"/>
  <c r="J49" i="2"/>
  <c r="B13" i="2"/>
  <c r="B18" i="2"/>
  <c r="B23" i="2"/>
  <c r="B31" i="2"/>
  <c r="B38" i="2"/>
  <c r="B45" i="2"/>
  <c r="B53" i="2"/>
  <c r="J11" i="2"/>
  <c r="J18" i="2"/>
  <c r="J30" i="2"/>
  <c r="J42" i="2"/>
  <c r="J54" i="2"/>
  <c r="B25" i="2"/>
  <c r="B30" i="2"/>
  <c r="B35" i="2"/>
  <c r="B41" i="2"/>
  <c r="B46" i="2"/>
  <c r="B51" i="2"/>
  <c r="J9" i="2"/>
  <c r="J14" i="2"/>
  <c r="J21" i="2"/>
  <c r="J29" i="2"/>
  <c r="J37" i="2"/>
  <c r="J48" i="2"/>
  <c r="J19" i="2"/>
  <c r="J23" i="2"/>
  <c r="J27" i="2"/>
  <c r="J31" i="2"/>
  <c r="J35" i="2"/>
  <c r="J40" i="2"/>
  <c r="J45" i="2"/>
  <c r="J50" i="2"/>
  <c r="J56" i="2"/>
  <c r="B12" i="2"/>
  <c r="B16" i="2"/>
  <c r="B20" i="2"/>
  <c r="B24" i="2"/>
  <c r="B28" i="2"/>
  <c r="B32" i="2"/>
  <c r="B36" i="2"/>
  <c r="B40" i="2"/>
  <c r="B44" i="2"/>
  <c r="B48" i="2"/>
  <c r="B52" i="2"/>
  <c r="B56" i="2"/>
  <c r="J12" i="2"/>
  <c r="J16" i="2"/>
  <c r="J20" i="2"/>
  <c r="J24" i="2"/>
  <c r="J28" i="2"/>
  <c r="J32" i="2"/>
  <c r="J36" i="2"/>
  <c r="J41" i="2"/>
  <c r="J46" i="2"/>
  <c r="J52" i="2"/>
  <c r="J39" i="2"/>
  <c r="J43" i="2"/>
  <c r="J47" i="2"/>
  <c r="J51" i="2"/>
  <c r="I24" i="3" l="1"/>
  <c r="E49" i="3"/>
  <c r="E9" i="2"/>
  <c r="G5" i="2"/>
  <c r="L5" i="2" l="1"/>
  <c r="E50" i="2" l="1"/>
  <c r="E46" i="2"/>
  <c r="E42" i="2"/>
  <c r="E38" i="2"/>
  <c r="M51" i="2"/>
  <c r="M45" i="2"/>
  <c r="M40" i="2"/>
  <c r="M35" i="2"/>
  <c r="M26" i="2"/>
  <c r="M17" i="2"/>
  <c r="E33" i="2"/>
  <c r="E49" i="2"/>
  <c r="E41" i="2"/>
  <c r="E37" i="2"/>
  <c r="M49" i="2"/>
  <c r="E53" i="2"/>
  <c r="E56" i="2"/>
  <c r="E52" i="2"/>
  <c r="E48" i="2"/>
  <c r="M53" i="2"/>
  <c r="E45" i="2"/>
  <c r="M41" i="2"/>
  <c r="M30" i="2"/>
  <c r="M22" i="2"/>
  <c r="M15" i="2"/>
  <c r="M10" i="2"/>
  <c r="E34" i="2"/>
  <c r="E30" i="2"/>
  <c r="M54" i="2"/>
  <c r="M50" i="2"/>
  <c r="M46" i="2"/>
  <c r="M42" i="2"/>
  <c r="M38" i="2"/>
  <c r="M34" i="2"/>
  <c r="M29" i="2"/>
  <c r="M23" i="2"/>
  <c r="M18" i="2"/>
  <c r="M37" i="2"/>
  <c r="E44" i="2"/>
  <c r="E40" i="2"/>
  <c r="E36" i="2"/>
  <c r="E32" i="2"/>
  <c r="M52" i="2"/>
  <c r="M48" i="2"/>
  <c r="M44" i="2"/>
  <c r="M36" i="2"/>
  <c r="M31" i="2"/>
  <c r="M21" i="2"/>
  <c r="M9" i="2"/>
  <c r="M27" i="2"/>
  <c r="M11" i="2"/>
  <c r="E55" i="2"/>
  <c r="E51" i="2"/>
  <c r="E47" i="2"/>
  <c r="E43" i="2"/>
  <c r="E39" i="2"/>
  <c r="E35" i="2"/>
  <c r="E31" i="2"/>
  <c r="M55" i="2"/>
  <c r="M47" i="2"/>
  <c r="M43" i="2"/>
  <c r="M39" i="2"/>
  <c r="M25" i="2"/>
  <c r="M19" i="2"/>
  <c r="M14" i="2"/>
  <c r="E12" i="2"/>
  <c r="E16" i="2"/>
  <c r="E20" i="2"/>
  <c r="E24" i="2"/>
  <c r="E28" i="2"/>
  <c r="E13" i="2"/>
  <c r="E17" i="2"/>
  <c r="E21" i="2"/>
  <c r="E25" i="2"/>
  <c r="E29" i="2"/>
  <c r="C57" i="2"/>
  <c r="E14" i="2"/>
  <c r="E18" i="2"/>
  <c r="E22" i="2"/>
  <c r="E26" i="2"/>
  <c r="E15" i="2"/>
  <c r="E19" i="2"/>
  <c r="E23" i="2"/>
  <c r="E27" i="2"/>
  <c r="K58" i="2"/>
  <c r="K57" i="2"/>
  <c r="M33" i="2"/>
  <c r="E54" i="2"/>
  <c r="M13" i="2"/>
  <c r="M56" i="2" l="1"/>
  <c r="M28" i="2"/>
  <c r="M16" i="2"/>
  <c r="M32" i="2"/>
  <c r="M20" i="2"/>
  <c r="E10" i="2"/>
  <c r="M24" i="2"/>
  <c r="M12" i="2"/>
  <c r="G9" i="2" l="1"/>
  <c r="C10" i="2"/>
  <c r="F9" i="2"/>
  <c r="D9" i="2" l="1"/>
  <c r="H9" i="2"/>
  <c r="C11" i="2"/>
  <c r="F10" i="2"/>
  <c r="C12" i="2" l="1"/>
  <c r="F11" i="2"/>
  <c r="H10" i="2"/>
  <c r="G11" i="2" s="1"/>
  <c r="D11" i="2" l="1"/>
  <c r="C13" i="2"/>
  <c r="F12" i="2"/>
  <c r="G10" i="2"/>
  <c r="E57" i="2"/>
  <c r="H11" i="2"/>
  <c r="G12" i="2" s="1"/>
  <c r="D10" i="2" l="1"/>
  <c r="D12" i="2"/>
  <c r="C14" i="2"/>
  <c r="F13" i="2"/>
  <c r="H12" i="2"/>
  <c r="F14" i="2" l="1"/>
  <c r="C15" i="2"/>
  <c r="G13" i="2"/>
  <c r="H13" i="2"/>
  <c r="D13" i="2" l="1"/>
  <c r="C16" i="2"/>
  <c r="F15" i="2"/>
  <c r="H14" i="2"/>
  <c r="G14" i="2"/>
  <c r="D14" i="2" s="1"/>
  <c r="C17" i="2" l="1"/>
  <c r="F16" i="2"/>
  <c r="G15" i="2"/>
  <c r="D15" i="2" s="1"/>
  <c r="H15" i="2"/>
  <c r="C18" i="2" l="1"/>
  <c r="F17" i="2"/>
  <c r="G16" i="2"/>
  <c r="D16" i="2" s="1"/>
  <c r="H16" i="2"/>
  <c r="C19" i="2" l="1"/>
  <c r="F18" i="2"/>
  <c r="H17" i="2"/>
  <c r="G17" i="2"/>
  <c r="D17" i="2" s="1"/>
  <c r="C20" i="2" l="1"/>
  <c r="F19" i="2"/>
  <c r="G18" i="2"/>
  <c r="D18" i="2" s="1"/>
  <c r="H18" i="2"/>
  <c r="C21" i="2" l="1"/>
  <c r="F20" i="2"/>
  <c r="G19" i="2"/>
  <c r="D19" i="2" s="1"/>
  <c r="H19" i="2"/>
  <c r="C22" i="2" l="1"/>
  <c r="F21" i="2"/>
  <c r="G20" i="2"/>
  <c r="D20" i="2" s="1"/>
  <c r="H20" i="2"/>
  <c r="F22" i="2" l="1"/>
  <c r="C23" i="2"/>
  <c r="G21" i="2"/>
  <c r="D21" i="2" s="1"/>
  <c r="H21" i="2"/>
  <c r="C24" i="2" l="1"/>
  <c r="F23" i="2"/>
  <c r="G22" i="2"/>
  <c r="D22" i="2" s="1"/>
  <c r="H22" i="2"/>
  <c r="C25" i="2" l="1"/>
  <c r="F24" i="2"/>
  <c r="G23" i="2"/>
  <c r="D23" i="2" s="1"/>
  <c r="H23" i="2"/>
  <c r="C26" i="2" l="1"/>
  <c r="F25" i="2"/>
  <c r="G24" i="2"/>
  <c r="D24" i="2" s="1"/>
  <c r="H24" i="2"/>
  <c r="C27" i="2" l="1"/>
  <c r="F26" i="2"/>
  <c r="G25" i="2"/>
  <c r="D25" i="2" s="1"/>
  <c r="H25" i="2"/>
  <c r="C28" i="2" l="1"/>
  <c r="F27" i="2"/>
  <c r="G26" i="2"/>
  <c r="D26" i="2" s="1"/>
  <c r="H26" i="2"/>
  <c r="C29" i="2" l="1"/>
  <c r="F28" i="2"/>
  <c r="H27" i="2"/>
  <c r="G27" i="2"/>
  <c r="D27" i="2" s="1"/>
  <c r="C30" i="2" l="1"/>
  <c r="F29" i="2"/>
  <c r="G28" i="2"/>
  <c r="D28" i="2" s="1"/>
  <c r="H28" i="2"/>
  <c r="C31" i="2" l="1"/>
  <c r="F30" i="2"/>
  <c r="H29" i="2"/>
  <c r="G29" i="2"/>
  <c r="D29" i="2" s="1"/>
  <c r="C32" i="2" l="1"/>
  <c r="F31" i="2"/>
  <c r="G30" i="2"/>
  <c r="D30" i="2" s="1"/>
  <c r="H30" i="2"/>
  <c r="C33" i="2" l="1"/>
  <c r="F32" i="2"/>
  <c r="G31" i="2"/>
  <c r="D31" i="2" s="1"/>
  <c r="H31" i="2"/>
  <c r="C34" i="2" l="1"/>
  <c r="F33" i="2"/>
  <c r="G32" i="2"/>
  <c r="D32" i="2" s="1"/>
  <c r="H32" i="2"/>
  <c r="C35" i="2" l="1"/>
  <c r="F34" i="2"/>
  <c r="H33" i="2"/>
  <c r="G33" i="2"/>
  <c r="D33" i="2" s="1"/>
  <c r="C36" i="2" l="1"/>
  <c r="F35" i="2"/>
  <c r="G34" i="2"/>
  <c r="D34" i="2" s="1"/>
  <c r="H34" i="2"/>
  <c r="C37" i="2" l="1"/>
  <c r="F36" i="2"/>
  <c r="G35" i="2"/>
  <c r="D35" i="2" s="1"/>
  <c r="H35" i="2"/>
  <c r="C38" i="2" l="1"/>
  <c r="F37" i="2"/>
  <c r="G36" i="2"/>
  <c r="D36" i="2" s="1"/>
  <c r="H36" i="2"/>
  <c r="C39" i="2" l="1"/>
  <c r="F38" i="2"/>
  <c r="G37" i="2"/>
  <c r="D37" i="2" s="1"/>
  <c r="H37" i="2"/>
  <c r="C40" i="2" l="1"/>
  <c r="F39" i="2"/>
  <c r="G38" i="2"/>
  <c r="D38" i="2" s="1"/>
  <c r="H38" i="2"/>
  <c r="C41" i="2" l="1"/>
  <c r="F40" i="2"/>
  <c r="G39" i="2"/>
  <c r="D39" i="2" s="1"/>
  <c r="H39" i="2"/>
  <c r="C42" i="2" l="1"/>
  <c r="F41" i="2"/>
  <c r="G40" i="2"/>
  <c r="D40" i="2" s="1"/>
  <c r="H40" i="2"/>
  <c r="C43" i="2" l="1"/>
  <c r="F42" i="2"/>
  <c r="H41" i="2"/>
  <c r="G41" i="2"/>
  <c r="D41" i="2" s="1"/>
  <c r="C44" i="2" l="1"/>
  <c r="F43" i="2"/>
  <c r="G42" i="2"/>
  <c r="D42" i="2" s="1"/>
  <c r="H42" i="2"/>
  <c r="C45" i="2" l="1"/>
  <c r="F44" i="2"/>
  <c r="G43" i="2"/>
  <c r="D43" i="2" s="1"/>
  <c r="H43" i="2"/>
  <c r="C46" i="2" l="1"/>
  <c r="F45" i="2"/>
  <c r="H44" i="2"/>
  <c r="G44" i="2"/>
  <c r="D44" i="2" s="1"/>
  <c r="M57" i="2"/>
  <c r="M58" i="2" s="1"/>
  <c r="C47" i="2" l="1"/>
  <c r="F46" i="2"/>
  <c r="G45" i="2"/>
  <c r="D45" i="2" s="1"/>
  <c r="H45" i="2"/>
  <c r="C48" i="2" l="1"/>
  <c r="F47" i="2"/>
  <c r="G46" i="2"/>
  <c r="D46" i="2" s="1"/>
  <c r="H46" i="2"/>
  <c r="C49" i="2" l="1"/>
  <c r="F48" i="2"/>
  <c r="G47" i="2"/>
  <c r="D47" i="2" s="1"/>
  <c r="H47" i="2"/>
  <c r="C50" i="2" l="1"/>
  <c r="F49" i="2"/>
  <c r="G48" i="2"/>
  <c r="D48" i="2" s="1"/>
  <c r="H48" i="2"/>
  <c r="C51" i="2" l="1"/>
  <c r="F50" i="2"/>
  <c r="G49" i="2"/>
  <c r="D49" i="2" s="1"/>
  <c r="H49" i="2"/>
  <c r="C52" i="2" l="1"/>
  <c r="F51" i="2"/>
  <c r="G50" i="2"/>
  <c r="D50" i="2" s="1"/>
  <c r="H50" i="2"/>
  <c r="C53" i="2" l="1"/>
  <c r="F52" i="2"/>
  <c r="H51" i="2"/>
  <c r="G51" i="2"/>
  <c r="D51" i="2" s="1"/>
  <c r="C54" i="2" l="1"/>
  <c r="F53" i="2"/>
  <c r="G52" i="2"/>
  <c r="D52" i="2" s="1"/>
  <c r="H52" i="2"/>
  <c r="C55" i="2" l="1"/>
  <c r="F54" i="2"/>
  <c r="G53" i="2"/>
  <c r="D53" i="2" s="1"/>
  <c r="H53" i="2"/>
  <c r="C56" i="2" l="1"/>
  <c r="F55" i="2"/>
  <c r="H54" i="2"/>
  <c r="G54" i="2"/>
  <c r="D54" i="2" s="1"/>
  <c r="F56" i="2" l="1"/>
  <c r="K9" i="2"/>
  <c r="H55" i="2"/>
  <c r="G55" i="2"/>
  <c r="D55" i="2" s="1"/>
  <c r="F57" i="2" l="1"/>
  <c r="N9" i="2"/>
  <c r="K10" i="2"/>
  <c r="H56" i="2"/>
  <c r="G56" i="2"/>
  <c r="G57" i="2" s="1"/>
  <c r="E51" i="3" l="1"/>
  <c r="N10" i="2"/>
  <c r="K11" i="2"/>
  <c r="P9" i="2"/>
  <c r="O9" i="2"/>
  <c r="D56" i="2"/>
  <c r="D57" i="2" s="1"/>
  <c r="L9" i="2" l="1"/>
  <c r="N11" i="2"/>
  <c r="K12" i="2"/>
  <c r="P10" i="2"/>
  <c r="O10" i="2"/>
  <c r="L10" i="2" s="1"/>
  <c r="N12" i="2" l="1"/>
  <c r="K13" i="2"/>
  <c r="P11" i="2"/>
  <c r="O11" i="2"/>
  <c r="L11" i="2" s="1"/>
  <c r="N13" i="2" l="1"/>
  <c r="K14" i="2"/>
  <c r="P12" i="2"/>
  <c r="O12" i="2"/>
  <c r="L12" i="2" l="1"/>
  <c r="N14" i="2"/>
  <c r="K15" i="2"/>
  <c r="P13" i="2"/>
  <c r="O13" i="2"/>
  <c r="L13" i="2" s="1"/>
  <c r="N15" i="2" l="1"/>
  <c r="K16" i="2"/>
  <c r="P14" i="2"/>
  <c r="O14" i="2"/>
  <c r="L14" i="2" s="1"/>
  <c r="N16" i="2" l="1"/>
  <c r="K17" i="2"/>
  <c r="P15" i="2"/>
  <c r="O15" i="2"/>
  <c r="L15" i="2" s="1"/>
  <c r="N17" i="2" l="1"/>
  <c r="K18" i="2"/>
  <c r="P16" i="2"/>
  <c r="O16" i="2"/>
  <c r="L16" i="2" s="1"/>
  <c r="N18" i="2" l="1"/>
  <c r="K19" i="2"/>
  <c r="P17" i="2"/>
  <c r="O17" i="2"/>
  <c r="L17" i="2" s="1"/>
  <c r="N19" i="2" l="1"/>
  <c r="K20" i="2"/>
  <c r="P18" i="2"/>
  <c r="O18" i="2"/>
  <c r="L18" i="2" s="1"/>
  <c r="N20" i="2" l="1"/>
  <c r="K21" i="2"/>
  <c r="P19" i="2"/>
  <c r="O19" i="2"/>
  <c r="L19" i="2" s="1"/>
  <c r="N21" i="2" l="1"/>
  <c r="K22" i="2"/>
  <c r="P20" i="2"/>
  <c r="O20" i="2"/>
  <c r="L20" i="2" s="1"/>
  <c r="N22" i="2" l="1"/>
  <c r="K23" i="2"/>
  <c r="P21" i="2"/>
  <c r="O21" i="2"/>
  <c r="L21" i="2" s="1"/>
  <c r="N23" i="2" l="1"/>
  <c r="K24" i="2"/>
  <c r="P22" i="2"/>
  <c r="O22" i="2"/>
  <c r="L22" i="2" s="1"/>
  <c r="N24" i="2" l="1"/>
  <c r="K25" i="2"/>
  <c r="P23" i="2"/>
  <c r="O23" i="2"/>
  <c r="L23" i="2" s="1"/>
  <c r="N25" i="2" l="1"/>
  <c r="K26" i="2"/>
  <c r="P24" i="2"/>
  <c r="O24" i="2"/>
  <c r="L24" i="2" s="1"/>
  <c r="N26" i="2" l="1"/>
  <c r="K27" i="2"/>
  <c r="P25" i="2"/>
  <c r="O25" i="2"/>
  <c r="L25" i="2" s="1"/>
  <c r="N27" i="2" l="1"/>
  <c r="K28" i="2"/>
  <c r="P26" i="2"/>
  <c r="O26" i="2"/>
  <c r="L26" i="2" s="1"/>
  <c r="N28" i="2" l="1"/>
  <c r="K29" i="2"/>
  <c r="P27" i="2"/>
  <c r="O27" i="2"/>
  <c r="L27" i="2" s="1"/>
  <c r="N29" i="2" l="1"/>
  <c r="K30" i="2"/>
  <c r="P28" i="2"/>
  <c r="O28" i="2"/>
  <c r="L28" i="2" s="1"/>
  <c r="N30" i="2" l="1"/>
  <c r="K31" i="2"/>
  <c r="P29" i="2"/>
  <c r="O29" i="2"/>
  <c r="L29" i="2" s="1"/>
  <c r="N31" i="2" l="1"/>
  <c r="K32" i="2"/>
  <c r="P30" i="2"/>
  <c r="O30" i="2"/>
  <c r="L30" i="2" s="1"/>
  <c r="N32" i="2" l="1"/>
  <c r="K33" i="2"/>
  <c r="P31" i="2"/>
  <c r="O31" i="2"/>
  <c r="L31" i="2" s="1"/>
  <c r="N33" i="2" l="1"/>
  <c r="K34" i="2"/>
  <c r="P32" i="2"/>
  <c r="O32" i="2"/>
  <c r="L32" i="2" s="1"/>
  <c r="N34" i="2" l="1"/>
  <c r="K35" i="2"/>
  <c r="P33" i="2"/>
  <c r="O33" i="2"/>
  <c r="L33" i="2" s="1"/>
  <c r="N35" i="2" l="1"/>
  <c r="K36" i="2"/>
  <c r="P34" i="2"/>
  <c r="O34" i="2"/>
  <c r="L34" i="2" s="1"/>
  <c r="N36" i="2" l="1"/>
  <c r="K37" i="2"/>
  <c r="P35" i="2"/>
  <c r="O35" i="2"/>
  <c r="L35" i="2" s="1"/>
  <c r="N37" i="2" l="1"/>
  <c r="K38" i="2"/>
  <c r="P36" i="2"/>
  <c r="O36" i="2"/>
  <c r="L36" i="2" s="1"/>
  <c r="N38" i="2" l="1"/>
  <c r="K39" i="2"/>
  <c r="P37" i="2"/>
  <c r="O37" i="2"/>
  <c r="L37" i="2" s="1"/>
  <c r="K40" i="2" l="1"/>
  <c r="N39" i="2"/>
  <c r="P38" i="2"/>
  <c r="O38" i="2"/>
  <c r="L38" i="2" s="1"/>
  <c r="K41" i="2" l="1"/>
  <c r="N40" i="2"/>
  <c r="P39" i="2"/>
  <c r="O39" i="2"/>
  <c r="L39" i="2" s="1"/>
  <c r="K42" i="2" l="1"/>
  <c r="N41" i="2"/>
  <c r="P40" i="2"/>
  <c r="O40" i="2"/>
  <c r="L40" i="2" s="1"/>
  <c r="K43" i="2" l="1"/>
  <c r="N42" i="2"/>
  <c r="P41" i="2"/>
  <c r="O41" i="2"/>
  <c r="L41" i="2" s="1"/>
  <c r="K44" i="2" l="1"/>
  <c r="N43" i="2"/>
  <c r="P42" i="2"/>
  <c r="O42" i="2"/>
  <c r="L42" i="2" s="1"/>
  <c r="K45" i="2" l="1"/>
  <c r="N44" i="2"/>
  <c r="P43" i="2"/>
  <c r="O43" i="2"/>
  <c r="L43" i="2" s="1"/>
  <c r="K46" i="2" l="1"/>
  <c r="N45" i="2"/>
  <c r="P44" i="2"/>
  <c r="O44" i="2"/>
  <c r="L44" i="2" s="1"/>
  <c r="K47" i="2" l="1"/>
  <c r="N46" i="2"/>
  <c r="P45" i="2"/>
  <c r="O45" i="2"/>
  <c r="L45" i="2" s="1"/>
  <c r="K48" i="2" l="1"/>
  <c r="N47" i="2"/>
  <c r="P46" i="2"/>
  <c r="O46" i="2"/>
  <c r="L46" i="2" s="1"/>
  <c r="K49" i="2" l="1"/>
  <c r="N48" i="2"/>
  <c r="P47" i="2"/>
  <c r="O47" i="2"/>
  <c r="L47" i="2" s="1"/>
  <c r="K50" i="2" l="1"/>
  <c r="N49" i="2"/>
  <c r="P48" i="2"/>
  <c r="O48" i="2"/>
  <c r="L48" i="2" s="1"/>
  <c r="K51" i="2" l="1"/>
  <c r="N50" i="2"/>
  <c r="P49" i="2"/>
  <c r="O49" i="2"/>
  <c r="L49" i="2" s="1"/>
  <c r="K52" i="2" l="1"/>
  <c r="N51" i="2"/>
  <c r="P50" i="2"/>
  <c r="O50" i="2"/>
  <c r="L50" i="2" s="1"/>
  <c r="K53" i="2" l="1"/>
  <c r="N52" i="2"/>
  <c r="P51" i="2"/>
  <c r="O51" i="2"/>
  <c r="L51" i="2" s="1"/>
  <c r="K54" i="2" l="1"/>
  <c r="N53" i="2"/>
  <c r="P52" i="2"/>
  <c r="O52" i="2"/>
  <c r="L52" i="2" s="1"/>
  <c r="N54" i="2" l="1"/>
  <c r="K55" i="2"/>
  <c r="P53" i="2"/>
  <c r="O53" i="2"/>
  <c r="L53" i="2" s="1"/>
  <c r="N55" i="2" l="1"/>
  <c r="K56" i="2"/>
  <c r="P54" i="2"/>
  <c r="O54" i="2"/>
  <c r="G43" i="3" l="1" a="1"/>
  <c r="G43" i="3" s="1"/>
  <c r="H43" i="3" s="1"/>
  <c r="N56" i="2"/>
  <c r="P55" i="2"/>
  <c r="O55" i="2"/>
  <c r="L55" i="2" s="1"/>
  <c r="L54" i="2"/>
  <c r="E50" i="3" l="1"/>
  <c r="N57" i="2"/>
  <c r="N58" i="2" s="1"/>
  <c r="E52" i="3" s="1"/>
  <c r="P56" i="2"/>
  <c r="O56" i="2"/>
  <c r="E46" i="3" l="1"/>
  <c r="K3" i="2" s="1"/>
  <c r="L56" i="2"/>
  <c r="L57" i="2" s="1"/>
  <c r="L58" i="2" s="1"/>
  <c r="O57" i="2"/>
  <c r="O58" i="2" s="1"/>
  <c r="E45" i="3" l="1"/>
  <c r="E38" i="3"/>
  <c r="E39" i="3"/>
  <c r="H45" i="3"/>
</calcChain>
</file>

<file path=xl/sharedStrings.xml><?xml version="1.0" encoding="utf-8"?>
<sst xmlns="http://schemas.openxmlformats.org/spreadsheetml/2006/main" count="74" uniqueCount="49">
  <si>
    <t>回数</t>
    <rPh sb="0" eb="2">
      <t>カイスウ</t>
    </rPh>
    <phoneticPr fontId="2"/>
  </si>
  <si>
    <t>償還年月</t>
    <rPh sb="0" eb="2">
      <t>ショウカン</t>
    </rPh>
    <rPh sb="2" eb="4">
      <t>ネンゲツ</t>
    </rPh>
    <phoneticPr fontId="2"/>
  </si>
  <si>
    <t>月払元金</t>
    <rPh sb="0" eb="1">
      <t>ツキ</t>
    </rPh>
    <rPh sb="1" eb="2">
      <t>バラ</t>
    </rPh>
    <rPh sb="2" eb="4">
      <t>ガンキン</t>
    </rPh>
    <phoneticPr fontId="2"/>
  </si>
  <si>
    <t>利息</t>
    <rPh sb="0" eb="2">
      <t>リソク</t>
    </rPh>
    <phoneticPr fontId="2"/>
  </si>
  <si>
    <t>償　還　額</t>
    <rPh sb="0" eb="1">
      <t>ショウ</t>
    </rPh>
    <rPh sb="2" eb="3">
      <t>カン</t>
    </rPh>
    <rPh sb="4" eb="5">
      <t>ガク</t>
    </rPh>
    <phoneticPr fontId="2"/>
  </si>
  <si>
    <t>元利計</t>
    <rPh sb="0" eb="1">
      <t>ガン</t>
    </rPh>
    <rPh sb="1" eb="2">
      <t>リ</t>
    </rPh>
    <rPh sb="2" eb="3">
      <t>ケイ</t>
    </rPh>
    <phoneticPr fontId="2"/>
  </si>
  <si>
    <t>賞与元金</t>
    <rPh sb="0" eb="2">
      <t>ショウヨ</t>
    </rPh>
    <rPh sb="2" eb="4">
      <t>ガンキン</t>
    </rPh>
    <phoneticPr fontId="2"/>
  </si>
  <si>
    <t>貸付日</t>
    <rPh sb="0" eb="2">
      <t>カシツケ</t>
    </rPh>
    <rPh sb="2" eb="3">
      <t>ビ</t>
    </rPh>
    <phoneticPr fontId="2"/>
  </si>
  <si>
    <t>借入金額</t>
    <rPh sb="0" eb="2">
      <t>カリイレ</t>
    </rPh>
    <rPh sb="2" eb="4">
      <t>キンガク</t>
    </rPh>
    <phoneticPr fontId="2"/>
  </si>
  <si>
    <t>月払総額</t>
    <rPh sb="0" eb="1">
      <t>ツキ</t>
    </rPh>
    <rPh sb="1" eb="2">
      <t>バラ</t>
    </rPh>
    <rPh sb="2" eb="4">
      <t>ソウガク</t>
    </rPh>
    <phoneticPr fontId="2"/>
  </si>
  <si>
    <t>元金残高</t>
    <rPh sb="0" eb="2">
      <t>ガンキン</t>
    </rPh>
    <rPh sb="2" eb="4">
      <t>ザンダカ</t>
    </rPh>
    <phoneticPr fontId="2"/>
  </si>
  <si>
    <t>利率</t>
    <rPh sb="0" eb="2">
      <t>リリツ</t>
    </rPh>
    <phoneticPr fontId="2"/>
  </si>
  <si>
    <t>償還方法</t>
    <rPh sb="0" eb="2">
      <t>ショウカン</t>
    </rPh>
    <rPh sb="2" eb="4">
      <t>ホウホウ</t>
    </rPh>
    <phoneticPr fontId="2"/>
  </si>
  <si>
    <t>円</t>
    <rPh sb="0" eb="1">
      <t>エン</t>
    </rPh>
    <phoneticPr fontId="2"/>
  </si>
  <si>
    <t>月払回数</t>
    <rPh sb="0" eb="1">
      <t>ツキ</t>
    </rPh>
    <rPh sb="1" eb="2">
      <t>バラ</t>
    </rPh>
    <rPh sb="2" eb="4">
      <t>カイスウ</t>
    </rPh>
    <phoneticPr fontId="2"/>
  </si>
  <si>
    <t>賞与払回数</t>
    <rPh sb="0" eb="2">
      <t>ショウヨ</t>
    </rPh>
    <rPh sb="2" eb="3">
      <t>ハラ</t>
    </rPh>
    <rPh sb="3" eb="5">
      <t>カイスウ</t>
    </rPh>
    <phoneticPr fontId="2"/>
  </si>
  <si>
    <t>賞与払総額</t>
    <rPh sb="0" eb="2">
      <t>ショウヨ</t>
    </rPh>
    <rPh sb="2" eb="3">
      <t>ハラ</t>
    </rPh>
    <rPh sb="3" eb="5">
      <t>ソウガク</t>
    </rPh>
    <phoneticPr fontId="2"/>
  </si>
  <si>
    <t>貸付利率(種別)</t>
    <rPh sb="0" eb="2">
      <t>カシツケ</t>
    </rPh>
    <rPh sb="2" eb="4">
      <t>リリツ</t>
    </rPh>
    <rPh sb="5" eb="7">
      <t>シュベツ</t>
    </rPh>
    <phoneticPr fontId="2"/>
  </si>
  <si>
    <t>貸付金シミュレーション入力</t>
    <rPh sb="0" eb="2">
      <t>カシツケ</t>
    </rPh>
    <rPh sb="2" eb="3">
      <t>キン</t>
    </rPh>
    <rPh sb="11" eb="13">
      <t>ニュウリョク</t>
    </rPh>
    <phoneticPr fontId="2"/>
  </si>
  <si>
    <t>当連盟貸付制度を利用した際の月々の返済額や賞与返済額等をシミュレーションするものです。</t>
    <rPh sb="0" eb="1">
      <t>トウ</t>
    </rPh>
    <rPh sb="1" eb="3">
      <t>レンメイ</t>
    </rPh>
    <rPh sb="3" eb="5">
      <t>カシツケ</t>
    </rPh>
    <rPh sb="5" eb="7">
      <t>セイド</t>
    </rPh>
    <rPh sb="8" eb="10">
      <t>リヨウ</t>
    </rPh>
    <rPh sb="12" eb="13">
      <t>サイ</t>
    </rPh>
    <rPh sb="14" eb="16">
      <t>ツキヅキ</t>
    </rPh>
    <rPh sb="17" eb="19">
      <t>ヘンサイ</t>
    </rPh>
    <rPh sb="19" eb="20">
      <t>ガク</t>
    </rPh>
    <rPh sb="21" eb="23">
      <t>ショウヨ</t>
    </rPh>
    <rPh sb="23" eb="25">
      <t>ヘンサイ</t>
    </rPh>
    <rPh sb="25" eb="26">
      <t>ガク</t>
    </rPh>
    <rPh sb="26" eb="27">
      <t>トウ</t>
    </rPh>
    <phoneticPr fontId="2"/>
  </si>
  <si>
    <t>端数処理の関係で計算結果に誤差が発生することがありますのでご了承ください。</t>
    <rPh sb="0" eb="2">
      <t>ハスウ</t>
    </rPh>
    <rPh sb="2" eb="4">
      <t>ショリ</t>
    </rPh>
    <rPh sb="5" eb="7">
      <t>カンケイ</t>
    </rPh>
    <rPh sb="8" eb="10">
      <t>ケイサン</t>
    </rPh>
    <rPh sb="10" eb="12">
      <t>ケッカ</t>
    </rPh>
    <rPh sb="13" eb="15">
      <t>ゴサ</t>
    </rPh>
    <rPh sb="16" eb="18">
      <t>ハッセイ</t>
    </rPh>
    <rPh sb="30" eb="32">
      <t>リョウショウ</t>
    </rPh>
    <phoneticPr fontId="2"/>
  </si>
  <si>
    <t>貸付限度額</t>
    <rPh sb="0" eb="2">
      <t>カシツケ</t>
    </rPh>
    <rPh sb="2" eb="4">
      <t>ゲンド</t>
    </rPh>
    <rPh sb="4" eb="5">
      <t>ガク</t>
    </rPh>
    <phoneticPr fontId="2"/>
  </si>
  <si>
    <t>収入印紙</t>
    <rPh sb="0" eb="2">
      <t>シュウニュウ</t>
    </rPh>
    <rPh sb="2" eb="4">
      <t>インシ</t>
    </rPh>
    <phoneticPr fontId="2"/>
  </si>
  <si>
    <t xml:space="preserve"> ※貸付限度額計算</t>
    <rPh sb="2" eb="4">
      <t>カシツケ</t>
    </rPh>
    <rPh sb="4" eb="6">
      <t>ゲンド</t>
    </rPh>
    <rPh sb="6" eb="7">
      <t>ガク</t>
    </rPh>
    <rPh sb="7" eb="9">
      <t>ケイサン</t>
    </rPh>
    <phoneticPr fontId="2"/>
  </si>
  <si>
    <t>千円</t>
    <rPh sb="0" eb="2">
      <t>センエン</t>
    </rPh>
    <phoneticPr fontId="2"/>
  </si>
  <si>
    <t>一般貸付＝利率2.0%　　　災害貸付＝利率0.5%</t>
    <rPh sb="0" eb="2">
      <t>イッパン</t>
    </rPh>
    <rPh sb="2" eb="4">
      <t>カシツケ</t>
    </rPh>
    <rPh sb="5" eb="7">
      <t>リリツ</t>
    </rPh>
    <rPh sb="14" eb="16">
      <t>サイガイ</t>
    </rPh>
    <rPh sb="16" eb="18">
      <t>カシツケ</t>
    </rPh>
    <rPh sb="19" eb="21">
      <t>リリツ</t>
    </rPh>
    <phoneticPr fontId="2"/>
  </si>
  <si>
    <t>月払のみと賞与併用払があります。　賞与払総額は貸付金額の50%以内となります。（賞与払月は1月・7月）</t>
    <rPh sb="0" eb="2">
      <t>ツキバライ</t>
    </rPh>
    <rPh sb="1" eb="2">
      <t>バラ</t>
    </rPh>
    <rPh sb="5" eb="7">
      <t>ショウヨ</t>
    </rPh>
    <rPh sb="7" eb="9">
      <t>ヘイヨウ</t>
    </rPh>
    <rPh sb="9" eb="10">
      <t>バラ</t>
    </rPh>
    <rPh sb="40" eb="42">
      <t>ショウヨ</t>
    </rPh>
    <rPh sb="42" eb="43">
      <t>ハラ</t>
    </rPh>
    <rPh sb="43" eb="44">
      <t>ツキ</t>
    </rPh>
    <rPh sb="46" eb="47">
      <t>ツキ</t>
    </rPh>
    <rPh sb="49" eb="50">
      <t>ツキ</t>
    </rPh>
    <phoneticPr fontId="2"/>
  </si>
  <si>
    <t>回</t>
    <rPh sb="0" eb="1">
      <t>カイ</t>
    </rPh>
    <phoneticPr fontId="2"/>
  </si>
  <si>
    <t>賞与払回数は月払償還期間内までとなります。</t>
    <rPh sb="0" eb="2">
      <t>ショウヨ</t>
    </rPh>
    <rPh sb="2" eb="3">
      <t>バラ</t>
    </rPh>
    <rPh sb="3" eb="5">
      <t>カイスウ</t>
    </rPh>
    <rPh sb="6" eb="7">
      <t>ツキ</t>
    </rPh>
    <rPh sb="7" eb="8">
      <t>バラ</t>
    </rPh>
    <rPh sb="8" eb="10">
      <t>ショウカン</t>
    </rPh>
    <rPh sb="10" eb="12">
      <t>キカン</t>
    </rPh>
    <rPh sb="12" eb="13">
      <t>ナイ</t>
    </rPh>
    <phoneticPr fontId="2"/>
  </si>
  <si>
    <t>月払回数は96回以内。ただし80回以上の利用は、貸付金額80万円以上の場合に適用されます。</t>
    <rPh sb="0" eb="1">
      <t>ツキ</t>
    </rPh>
    <rPh sb="1" eb="2">
      <t>バラ</t>
    </rPh>
    <rPh sb="2" eb="4">
      <t>カイスウ</t>
    </rPh>
    <rPh sb="7" eb="8">
      <t>カイ</t>
    </rPh>
    <rPh sb="8" eb="10">
      <t>イナイ</t>
    </rPh>
    <rPh sb="16" eb="17">
      <t>カイ</t>
    </rPh>
    <rPh sb="17" eb="19">
      <t>イジョウ</t>
    </rPh>
    <rPh sb="20" eb="22">
      <t>リヨウ</t>
    </rPh>
    <rPh sb="24" eb="26">
      <t>カシツケ</t>
    </rPh>
    <rPh sb="26" eb="28">
      <t>キンガク</t>
    </rPh>
    <rPh sb="30" eb="32">
      <t>マンエン</t>
    </rPh>
    <rPh sb="32" eb="34">
      <t>イジョウ</t>
    </rPh>
    <rPh sb="35" eb="37">
      <t>バアイ</t>
    </rPh>
    <rPh sb="38" eb="40">
      <t>テキヨウ</t>
    </rPh>
    <phoneticPr fontId="2"/>
  </si>
  <si>
    <t>賞与併用払金額</t>
    <rPh sb="0" eb="5">
      <t>ショウヨヘイヨウバライ</t>
    </rPh>
    <rPh sb="5" eb="7">
      <t>キンガク</t>
    </rPh>
    <phoneticPr fontId="2"/>
  </si>
  <si>
    <t>賞与併用払回数</t>
    <rPh sb="0" eb="5">
      <t>ショウヨヘイヨウバライ</t>
    </rPh>
    <rPh sb="5" eb="7">
      <t>カイスウ</t>
    </rPh>
    <phoneticPr fontId="2"/>
  </si>
  <si>
    <t>限度額</t>
    <rPh sb="0" eb="2">
      <t>ゲンド</t>
    </rPh>
    <rPh sb="2" eb="3">
      <t>ガク</t>
    </rPh>
    <phoneticPr fontId="2"/>
  </si>
  <si>
    <t>結果合計①</t>
    <rPh sb="0" eb="2">
      <t>ケッカ</t>
    </rPh>
    <rPh sb="2" eb="4">
      <t>ゴウケイ</t>
    </rPh>
    <phoneticPr fontId="2"/>
  </si>
  <si>
    <t>結果合計②</t>
    <rPh sb="0" eb="2">
      <t>ケッカ</t>
    </rPh>
    <rPh sb="2" eb="4">
      <t>ゴウケイ</t>
    </rPh>
    <phoneticPr fontId="2"/>
  </si>
  <si>
    <t>償還方法</t>
    <rPh sb="0" eb="2">
      <t>ショウカン</t>
    </rPh>
    <rPh sb="2" eb="4">
      <t>ホウホウ</t>
    </rPh>
    <phoneticPr fontId="2"/>
  </si>
  <si>
    <t>貸付日①</t>
    <rPh sb="0" eb="2">
      <t>カシツケ</t>
    </rPh>
    <rPh sb="2" eb="3">
      <t>ビ</t>
    </rPh>
    <phoneticPr fontId="2"/>
  </si>
  <si>
    <t>貸付日②</t>
    <rPh sb="0" eb="2">
      <t>カシツケ</t>
    </rPh>
    <rPh sb="2" eb="3">
      <t>ビ</t>
    </rPh>
    <phoneticPr fontId="2"/>
  </si>
  <si>
    <t>月払のみ</t>
  </si>
  <si>
    <t>円</t>
    <rPh sb="0" eb="1">
      <t>エン</t>
    </rPh>
    <phoneticPr fontId="2"/>
  </si>
  <si>
    <t>　初回</t>
    <rPh sb="1" eb="3">
      <t>ショカイ</t>
    </rPh>
    <phoneticPr fontId="2"/>
  </si>
  <si>
    <t>　2回目以降</t>
    <rPh sb="2" eb="4">
      <t>カイメ</t>
    </rPh>
    <rPh sb="4" eb="6">
      <t>イコウ</t>
    </rPh>
    <phoneticPr fontId="2"/>
  </si>
  <si>
    <t>(毎月返済元金)</t>
    <rPh sb="1" eb="3">
      <t>マイツキ</t>
    </rPh>
    <rPh sb="3" eb="5">
      <t>ヘンサイ</t>
    </rPh>
    <rPh sb="5" eb="7">
      <t>ガンキン</t>
    </rPh>
    <phoneticPr fontId="2"/>
  </si>
  <si>
    <t>(賞与返済元金)</t>
    <rPh sb="1" eb="3">
      <t>ショウヨ</t>
    </rPh>
    <rPh sb="3" eb="5">
      <t>ヘンサイ</t>
    </rPh>
    <rPh sb="5" eb="7">
      <t>ガンキン</t>
    </rPh>
    <phoneticPr fontId="2"/>
  </si>
  <si>
    <t>貸付限度額は、標準給与月額の12か月（10万円未満切上）。　最高限度額500万円。</t>
    <rPh sb="0" eb="2">
      <t>カシツケ</t>
    </rPh>
    <rPh sb="2" eb="4">
      <t>ゲンド</t>
    </rPh>
    <rPh sb="4" eb="5">
      <t>ガク</t>
    </rPh>
    <rPh sb="7" eb="13">
      <t>ヒョウジュンキュウヨゲツガク</t>
    </rPh>
    <rPh sb="17" eb="18">
      <t>ゲツ</t>
    </rPh>
    <rPh sb="21" eb="23">
      <t>マンエン</t>
    </rPh>
    <rPh sb="23" eb="25">
      <t>ミマン</t>
    </rPh>
    <rPh sb="25" eb="27">
      <t>キリア</t>
    </rPh>
    <rPh sb="30" eb="32">
      <t>サイコウ</t>
    </rPh>
    <rPh sb="32" eb="34">
      <t>ゲンド</t>
    </rPh>
    <rPh sb="34" eb="35">
      <t>ガク</t>
    </rPh>
    <rPh sb="38" eb="40">
      <t>マンエン</t>
    </rPh>
    <phoneticPr fontId="2"/>
  </si>
  <si>
    <t>（単位：円）</t>
    <rPh sb="1" eb="3">
      <t>タンイ</t>
    </rPh>
    <rPh sb="4" eb="5">
      <t>エン</t>
    </rPh>
    <phoneticPr fontId="2"/>
  </si>
  <si>
    <t xml:space="preserve">償還方法 ： </t>
    <rPh sb="0" eb="2">
      <t>ショウカン</t>
    </rPh>
    <rPh sb="2" eb="4">
      <t>ホウホウ</t>
    </rPh>
    <phoneticPr fontId="2"/>
  </si>
  <si>
    <t>貸　付　金　シ ミ ュ レ ー シ ョ ン</t>
    <phoneticPr fontId="2"/>
  </si>
  <si>
    <t xml:space="preserve"> 　 標準給与</t>
    <rPh sb="3" eb="5">
      <t>ヒョウジュン</t>
    </rPh>
    <rPh sb="5" eb="7">
      <t>キュウヨ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</si>
</sst>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0.0%"/>
    <numFmt numFmtId="178" formatCode="[$-411]ggge&quot;年&quot;m&quot;月&quot;d&quot;日&quot;;@"/>
    <numFmt numFmtId="179" formatCode="\(General&quot;回以内)&quot;"/>
    <numFmt numFmtId="180" formatCode="General&quot;回&quot;"/>
    <numFmt numFmtId="181" formatCode="#,##0&quot;円&quot;;[Red]\-#,##0"/>
  </numFmts>
  <fonts count="20">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b/>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b/>
      <sz val="11"/>
      <color theme="0"/>
      <name val="ＭＳ Ｐゴシック"/>
      <family val="3"/>
      <charset val="128"/>
      <scheme val="minor"/>
    </font>
    <font>
      <b/>
      <sz val="14"/>
      <color rgb="FFFF0000"/>
      <name val="ＭＳ Ｐゴシック"/>
      <family val="3"/>
      <charset val="128"/>
      <scheme val="major"/>
    </font>
    <font>
      <b/>
      <sz val="16"/>
      <color rgb="FFFF0000"/>
      <name val="ＭＳ Ｐゴシック"/>
      <family val="3"/>
      <charset val="128"/>
      <scheme val="minor"/>
    </font>
    <font>
      <sz val="11"/>
      <color theme="0"/>
      <name val="ＭＳ Ｐゴシック"/>
      <family val="3"/>
      <charset val="128"/>
      <scheme val="minor"/>
    </font>
    <font>
      <b/>
      <sz val="11"/>
      <name val="ＭＳ Ｐゴシック"/>
      <family val="2"/>
      <scheme val="minor"/>
    </font>
    <font>
      <sz val="11"/>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xf numFmtId="0" fontId="0" fillId="3" borderId="0" xfId="0" applyFill="1" applyAlignment="1" applyProtection="1">
      <alignment vertical="center"/>
    </xf>
    <xf numFmtId="0" fontId="3" fillId="3" borderId="0" xfId="0" applyFont="1" applyFill="1" applyAlignment="1" applyProtection="1">
      <alignment vertical="center"/>
    </xf>
    <xf numFmtId="0" fontId="0" fillId="3" borderId="0" xfId="0" applyFont="1" applyFill="1" applyAlignment="1" applyProtection="1">
      <alignment vertical="center"/>
    </xf>
    <xf numFmtId="0" fontId="5" fillId="3" borderId="0" xfId="0" applyFont="1" applyFill="1" applyAlignment="1" applyProtection="1">
      <alignment vertical="center"/>
    </xf>
    <xf numFmtId="0" fontId="6" fillId="3" borderId="0" xfId="0" applyFont="1" applyFill="1" applyAlignment="1" applyProtection="1">
      <alignment vertical="center"/>
    </xf>
    <xf numFmtId="0" fontId="5" fillId="2" borderId="0" xfId="0" applyFont="1" applyFill="1" applyBorder="1" applyAlignment="1" applyProtection="1">
      <alignment vertical="center"/>
    </xf>
    <xf numFmtId="0" fontId="6"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7" fillId="3" borderId="0" xfId="0" applyFont="1" applyFill="1" applyBorder="1" applyAlignment="1" applyProtection="1">
      <alignment vertical="center"/>
    </xf>
    <xf numFmtId="178" fontId="6" fillId="3" borderId="0" xfId="0" applyNumberFormat="1" applyFont="1" applyFill="1" applyBorder="1" applyAlignment="1" applyProtection="1">
      <alignment vertical="center"/>
    </xf>
    <xf numFmtId="0" fontId="7" fillId="2" borderId="0" xfId="0" applyFont="1" applyFill="1" applyBorder="1" applyAlignment="1" applyProtection="1">
      <alignment vertical="center"/>
    </xf>
    <xf numFmtId="0" fontId="0" fillId="3" borderId="0" xfId="0" applyFill="1" applyAlignment="1" applyProtection="1">
      <alignment horizontal="center" vertical="center" shrinkToFit="1"/>
    </xf>
    <xf numFmtId="0" fontId="0" fillId="3" borderId="0" xfId="0" applyFill="1" applyAlignment="1" applyProtection="1">
      <alignment vertical="center" shrinkToFit="1"/>
    </xf>
    <xf numFmtId="0" fontId="11" fillId="2" borderId="1"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38" fontId="0" fillId="2" borderId="1" xfId="1" applyFont="1" applyFill="1" applyBorder="1" applyAlignment="1" applyProtection="1">
      <alignment horizontal="center" vertical="center" shrinkToFit="1"/>
    </xf>
    <xf numFmtId="177" fontId="7" fillId="3" borderId="0" xfId="0" applyNumberFormat="1" applyFont="1" applyFill="1" applyBorder="1" applyAlignment="1" applyProtection="1">
      <alignment vertical="center"/>
    </xf>
    <xf numFmtId="38" fontId="7" fillId="3" borderId="0" xfId="1" applyFont="1" applyFill="1" applyBorder="1" applyAlignment="1" applyProtection="1">
      <alignment vertical="center"/>
    </xf>
    <xf numFmtId="0" fontId="7" fillId="2" borderId="3" xfId="0" applyFont="1" applyFill="1" applyBorder="1" applyAlignment="1" applyProtection="1">
      <alignment vertical="center"/>
    </xf>
    <xf numFmtId="0" fontId="6" fillId="3" borderId="4" xfId="0" applyFont="1" applyFill="1" applyBorder="1" applyAlignment="1" applyProtection="1">
      <alignment vertical="center"/>
    </xf>
    <xf numFmtId="0" fontId="7" fillId="2" borderId="8" xfId="0" applyFont="1" applyFill="1" applyBorder="1" applyAlignment="1" applyProtection="1">
      <alignment vertical="center"/>
    </xf>
    <xf numFmtId="0" fontId="7" fillId="2" borderId="9" xfId="0" applyFont="1" applyFill="1" applyBorder="1" applyAlignment="1" applyProtection="1">
      <alignment vertical="center"/>
    </xf>
    <xf numFmtId="180" fontId="7" fillId="3" borderId="9" xfId="0" applyNumberFormat="1" applyFont="1" applyFill="1" applyBorder="1" applyAlignment="1" applyProtection="1">
      <alignment vertical="center"/>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4" xfId="0" applyFont="1" applyFill="1" applyBorder="1" applyAlignment="1" applyProtection="1">
      <alignment vertical="center"/>
    </xf>
    <xf numFmtId="0" fontId="13" fillId="2" borderId="3" xfId="0" applyFont="1" applyFill="1" applyBorder="1" applyAlignment="1" applyProtection="1">
      <alignment vertical="center"/>
    </xf>
    <xf numFmtId="0" fontId="6" fillId="2" borderId="8" xfId="0" applyFont="1" applyFill="1" applyBorder="1" applyAlignment="1" applyProtection="1">
      <alignment vertical="center"/>
    </xf>
    <xf numFmtId="0" fontId="5" fillId="2" borderId="9" xfId="0" applyFont="1" applyFill="1" applyBorder="1" applyAlignment="1" applyProtection="1">
      <alignment vertical="center"/>
    </xf>
    <xf numFmtId="0" fontId="7"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10" xfId="0" applyFont="1" applyFill="1" applyBorder="1" applyAlignment="1" applyProtection="1">
      <alignment vertical="center"/>
    </xf>
    <xf numFmtId="0" fontId="7" fillId="2" borderId="8"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177" fontId="7" fillId="3" borderId="9" xfId="0" applyNumberFormat="1" applyFont="1" applyFill="1" applyBorder="1" applyAlignment="1" applyProtection="1">
      <alignment vertical="center"/>
    </xf>
    <xf numFmtId="176" fontId="7" fillId="3" borderId="0" xfId="0" applyNumberFormat="1" applyFont="1" applyFill="1" applyBorder="1" applyAlignment="1" applyProtection="1">
      <alignment horizontal="center" vertical="center"/>
    </xf>
    <xf numFmtId="38" fontId="7" fillId="3" borderId="9" xfId="1" applyFont="1" applyFill="1" applyBorder="1" applyAlignment="1" applyProtection="1">
      <alignment vertical="center"/>
    </xf>
    <xf numFmtId="176" fontId="7" fillId="3" borderId="9" xfId="0" applyNumberFormat="1" applyFont="1" applyFill="1" applyBorder="1" applyAlignment="1" applyProtection="1">
      <alignment horizontal="center" vertical="center"/>
    </xf>
    <xf numFmtId="180" fontId="7" fillId="3" borderId="0" xfId="1" applyNumberFormat="1" applyFont="1" applyFill="1" applyBorder="1" applyAlignment="1" applyProtection="1">
      <alignment vertical="center"/>
    </xf>
    <xf numFmtId="180" fontId="7" fillId="3" borderId="9" xfId="1"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13" fillId="2" borderId="0" xfId="0" applyFont="1" applyFill="1" applyBorder="1" applyAlignment="1" applyProtection="1">
      <alignment vertical="center"/>
    </xf>
    <xf numFmtId="176" fontId="0" fillId="3" borderId="1" xfId="0" applyNumberFormat="1" applyFill="1" applyBorder="1" applyAlignment="1" applyProtection="1">
      <alignment horizontal="center" vertical="center" shrinkToFit="1"/>
    </xf>
    <xf numFmtId="38" fontId="0" fillId="3" borderId="1" xfId="1" applyFont="1" applyFill="1" applyBorder="1" applyAlignment="1" applyProtection="1">
      <alignment vertical="center" shrinkToFit="1"/>
    </xf>
    <xf numFmtId="38" fontId="0" fillId="3" borderId="1" xfId="0" applyNumberFormat="1" applyFill="1" applyBorder="1" applyAlignment="1" applyProtection="1">
      <alignment vertical="center" shrinkToFit="1"/>
    </xf>
    <xf numFmtId="0" fontId="0" fillId="3" borderId="1" xfId="0" applyFill="1" applyBorder="1" applyAlignment="1" applyProtection="1">
      <alignment vertical="center" shrinkToFit="1"/>
    </xf>
    <xf numFmtId="177" fontId="0" fillId="3" borderId="1" xfId="2" applyNumberFormat="1" applyFont="1" applyFill="1" applyBorder="1" applyAlignment="1" applyProtection="1">
      <alignment vertical="center" shrinkToFit="1"/>
    </xf>
    <xf numFmtId="181" fontId="0" fillId="3" borderId="0" xfId="1" applyNumberFormat="1" applyFont="1" applyFill="1" applyAlignment="1" applyProtection="1">
      <alignment vertical="center" shrinkToFit="1"/>
    </xf>
    <xf numFmtId="176" fontId="0" fillId="3" borderId="1" xfId="0" applyNumberFormat="1" applyFill="1" applyBorder="1" applyAlignment="1" applyProtection="1">
      <alignment horizontal="left"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vertical="center" shrinkToFit="1"/>
    </xf>
    <xf numFmtId="38" fontId="0" fillId="2" borderId="1" xfId="0" applyNumberFormat="1" applyFill="1" applyBorder="1" applyAlignment="1" applyProtection="1">
      <alignment vertical="center" shrinkToFit="1"/>
    </xf>
    <xf numFmtId="38" fontId="7" fillId="3" borderId="0" xfId="1" applyFont="1" applyFill="1" applyBorder="1" applyAlignment="1" applyProtection="1">
      <alignment horizontal="left" vertical="center"/>
    </xf>
    <xf numFmtId="38" fontId="7" fillId="3" borderId="0" xfId="1" applyFont="1" applyFill="1" applyBorder="1" applyAlignment="1" applyProtection="1">
      <alignment horizontal="right" vertical="center"/>
    </xf>
    <xf numFmtId="0" fontId="0" fillId="2" borderId="1" xfId="0" applyFill="1" applyBorder="1" applyAlignment="1" applyProtection="1">
      <alignment horizontal="center" vertical="center" shrinkToFit="1"/>
    </xf>
    <xf numFmtId="0" fontId="10" fillId="3" borderId="0" xfId="0" applyFont="1" applyFill="1" applyAlignment="1" applyProtection="1">
      <alignment horizontal="center" vertical="center" shrinkToFit="1"/>
    </xf>
    <xf numFmtId="0" fontId="6" fillId="3" borderId="0" xfId="0" applyFont="1" applyFill="1" applyAlignment="1" applyProtection="1">
      <alignment horizontal="center" vertical="center" shrinkToFit="1"/>
    </xf>
    <xf numFmtId="0" fontId="6" fillId="3" borderId="0" xfId="0" applyFont="1" applyFill="1" applyAlignment="1" applyProtection="1">
      <alignment vertical="center" shrinkToFit="1"/>
    </xf>
    <xf numFmtId="0" fontId="4" fillId="3" borderId="0" xfId="0" applyFont="1" applyFill="1" applyBorder="1" applyAlignment="1" applyProtection="1">
      <alignment vertical="center"/>
    </xf>
    <xf numFmtId="0" fontId="4" fillId="3" borderId="4" xfId="0" applyFont="1" applyFill="1" applyBorder="1" applyAlignment="1" applyProtection="1">
      <alignment vertical="center"/>
    </xf>
    <xf numFmtId="0" fontId="14" fillId="3" borderId="4" xfId="0" applyFont="1" applyFill="1" applyBorder="1" applyAlignment="1" applyProtection="1">
      <alignment vertical="center"/>
    </xf>
    <xf numFmtId="0" fontId="16" fillId="3" borderId="0" xfId="0" applyFont="1" applyFill="1" applyAlignment="1" applyProtection="1">
      <alignment vertical="center"/>
    </xf>
    <xf numFmtId="38" fontId="7" fillId="3" borderId="2" xfId="1" applyFont="1" applyFill="1" applyBorder="1" applyAlignment="1" applyProtection="1">
      <alignment vertical="center"/>
      <protection locked="0"/>
    </xf>
    <xf numFmtId="0" fontId="7" fillId="3" borderId="0" xfId="0" applyFont="1" applyFill="1" applyAlignment="1" applyProtection="1">
      <alignment vertical="center"/>
    </xf>
    <xf numFmtId="38" fontId="7" fillId="2" borderId="1" xfId="1" applyFont="1" applyFill="1" applyBorder="1" applyAlignment="1" applyProtection="1">
      <alignment vertical="center"/>
    </xf>
    <xf numFmtId="0" fontId="9" fillId="3" borderId="0" xfId="0" applyFont="1" applyFill="1" applyAlignment="1" applyProtection="1"/>
    <xf numFmtId="0" fontId="0" fillId="4" borderId="0" xfId="0" applyFill="1" applyAlignment="1" applyProtection="1">
      <alignment vertical="center"/>
    </xf>
    <xf numFmtId="0" fontId="0" fillId="4" borderId="0" xfId="0" applyFont="1" applyFill="1" applyAlignment="1" applyProtection="1">
      <alignment vertical="center"/>
    </xf>
    <xf numFmtId="0" fontId="6" fillId="4" borderId="0" xfId="0" applyFont="1" applyFill="1" applyAlignment="1" applyProtection="1">
      <alignment vertical="center"/>
    </xf>
    <xf numFmtId="177" fontId="7" fillId="3" borderId="2" xfId="0" applyNumberFormat="1" applyFont="1" applyFill="1" applyBorder="1" applyAlignment="1" applyProtection="1">
      <alignment vertical="center"/>
      <protection locked="0"/>
    </xf>
    <xf numFmtId="176" fontId="7" fillId="3" borderId="2" xfId="0" applyNumberFormat="1" applyFont="1" applyFill="1" applyBorder="1" applyAlignment="1" applyProtection="1">
      <alignment horizontal="center" vertical="center"/>
      <protection locked="0"/>
    </xf>
    <xf numFmtId="38" fontId="7" fillId="3" borderId="2" xfId="1" applyFont="1" applyFill="1" applyBorder="1" applyAlignment="1" applyProtection="1">
      <alignment vertical="center"/>
    </xf>
    <xf numFmtId="0" fontId="5" fillId="4" borderId="0" xfId="0" applyFont="1" applyFill="1" applyAlignment="1" applyProtection="1">
      <alignment vertical="center" shrinkToFit="1"/>
    </xf>
    <xf numFmtId="0" fontId="0" fillId="4" borderId="0" xfId="0" applyFill="1" applyAlignment="1">
      <alignment shrinkToFit="1"/>
    </xf>
    <xf numFmtId="0" fontId="5" fillId="4" borderId="0" xfId="0" applyFont="1" applyFill="1" applyAlignment="1">
      <alignment shrinkToFit="1"/>
    </xf>
    <xf numFmtId="0" fontId="6" fillId="4" borderId="0" xfId="0" applyFont="1" applyFill="1" applyAlignment="1">
      <alignment shrinkToFit="1"/>
    </xf>
    <xf numFmtId="178" fontId="4" fillId="3" borderId="0" xfId="0" applyNumberFormat="1" applyFont="1" applyFill="1" applyBorder="1" applyAlignment="1" applyProtection="1">
      <alignment vertical="center"/>
    </xf>
    <xf numFmtId="0" fontId="7" fillId="2" borderId="3"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0" fillId="3" borderId="0" xfId="0" applyFill="1" applyBorder="1" applyAlignment="1" applyProtection="1">
      <alignment vertical="center"/>
    </xf>
    <xf numFmtId="38" fontId="0" fillId="3" borderId="0" xfId="0" applyNumberFormat="1" applyFill="1" applyAlignment="1" applyProtection="1">
      <alignment vertical="center" shrinkToFit="1"/>
    </xf>
    <xf numFmtId="38" fontId="19" fillId="3" borderId="0" xfId="1" applyFont="1" applyFill="1" applyBorder="1" applyAlignment="1" applyProtection="1">
      <alignment vertical="center" shrinkToFit="1"/>
    </xf>
    <xf numFmtId="0" fontId="5" fillId="4" borderId="0" xfId="0" applyFont="1" applyFill="1" applyAlignment="1" applyProtection="1">
      <alignment vertical="center"/>
    </xf>
    <xf numFmtId="0" fontId="8" fillId="2" borderId="0" xfId="0" applyFont="1" applyFill="1" applyBorder="1" applyAlignment="1" applyProtection="1">
      <alignment vertical="center"/>
    </xf>
    <xf numFmtId="0" fontId="7" fillId="3" borderId="2" xfId="0" applyNumberFormat="1" applyFont="1" applyFill="1" applyBorder="1" applyAlignment="1" applyProtection="1">
      <alignment horizontal="center" vertical="center"/>
      <protection locked="0"/>
    </xf>
    <xf numFmtId="0" fontId="18" fillId="4" borderId="0" xfId="0" applyFont="1" applyFill="1" applyBorder="1" applyAlignment="1" applyProtection="1">
      <alignment vertical="center"/>
    </xf>
    <xf numFmtId="0" fontId="6" fillId="4" borderId="0" xfId="0" applyFont="1" applyFill="1" applyBorder="1" applyAlignment="1" applyProtection="1">
      <alignment vertical="center"/>
    </xf>
    <xf numFmtId="14" fontId="6" fillId="4" borderId="0" xfId="0" applyNumberFormat="1" applyFont="1" applyFill="1" applyAlignment="1" applyProtection="1">
      <alignment vertical="center"/>
    </xf>
    <xf numFmtId="0" fontId="6" fillId="2" borderId="3"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0" xfId="0" applyNumberFormat="1" applyFill="1" applyBorder="1" applyAlignment="1" applyProtection="1">
      <alignment horizontal="center" vertical="center"/>
    </xf>
    <xf numFmtId="0" fontId="6" fillId="2" borderId="0" xfId="0" applyFont="1" applyFill="1" applyBorder="1" applyAlignment="1" applyProtection="1">
      <alignment vertical="center"/>
    </xf>
    <xf numFmtId="38" fontId="6" fillId="3" borderId="0" xfId="1" applyFont="1" applyFill="1" applyBorder="1" applyAlignment="1" applyProtection="1">
      <alignment horizontal="right" vertical="center"/>
    </xf>
    <xf numFmtId="38" fontId="6" fillId="3" borderId="0" xfId="1" applyFont="1" applyFill="1" applyBorder="1" applyAlignment="1" applyProtection="1">
      <alignment horizontal="left" vertical="center"/>
    </xf>
    <xf numFmtId="0" fontId="17" fillId="3" borderId="4" xfId="0" applyFont="1" applyFill="1" applyBorder="1" applyAlignment="1" applyProtection="1">
      <alignment vertical="center"/>
    </xf>
    <xf numFmtId="179" fontId="7" fillId="3" borderId="9" xfId="0" applyNumberFormat="1" applyFont="1" applyFill="1" applyBorder="1" applyAlignment="1" applyProtection="1">
      <alignment vertical="center" shrinkToFit="1"/>
    </xf>
    <xf numFmtId="0" fontId="14" fillId="3" borderId="0" xfId="0" applyFont="1" applyFill="1" applyBorder="1" applyAlignment="1" applyProtection="1">
      <alignment horizontal="center" vertical="center"/>
    </xf>
    <xf numFmtId="179" fontId="7" fillId="3" borderId="0" xfId="0" applyNumberFormat="1" applyFont="1" applyFill="1" applyBorder="1" applyAlignment="1" applyProtection="1">
      <alignment horizontal="left" vertical="center" shrinkToFit="1"/>
    </xf>
    <xf numFmtId="0" fontId="14" fillId="3" borderId="9" xfId="0" applyFont="1" applyFill="1" applyBorder="1" applyAlignment="1" applyProtection="1">
      <alignment vertical="center"/>
    </xf>
    <xf numFmtId="0" fontId="14" fillId="3" borderId="10"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0" fillId="3" borderId="0" xfId="0" applyFill="1" applyAlignment="1" applyProtection="1">
      <alignment shrinkToFit="1"/>
    </xf>
    <xf numFmtId="0" fontId="0" fillId="2" borderId="15" xfId="0" applyFill="1" applyBorder="1" applyAlignment="1" applyProtection="1">
      <alignment vertical="center" shrinkToFit="1"/>
    </xf>
    <xf numFmtId="0" fontId="0" fillId="2" borderId="16" xfId="0" applyFill="1" applyBorder="1" applyAlignment="1" applyProtection="1">
      <alignment vertical="center" shrinkToFit="1"/>
    </xf>
    <xf numFmtId="179" fontId="7" fillId="3" borderId="0" xfId="0" applyNumberFormat="1" applyFont="1" applyFill="1" applyBorder="1" applyAlignment="1" applyProtection="1">
      <alignment horizontal="right" vertical="center" shrinkToFit="1"/>
    </xf>
    <xf numFmtId="0" fontId="7" fillId="2" borderId="0" xfId="0" applyFont="1" applyFill="1" applyBorder="1" applyAlignment="1" applyProtection="1">
      <alignment horizontal="left" vertical="center"/>
    </xf>
    <xf numFmtId="0" fontId="7" fillId="3" borderId="12" xfId="0" applyNumberFormat="1" applyFont="1" applyFill="1" applyBorder="1" applyAlignment="1" applyProtection="1">
      <alignment vertical="center"/>
      <protection locked="0"/>
    </xf>
    <xf numFmtId="0" fontId="7" fillId="3" borderId="13" xfId="0" applyNumberFormat="1" applyFont="1" applyFill="1" applyBorder="1" applyAlignment="1" applyProtection="1">
      <alignment vertical="center"/>
      <protection locked="0"/>
    </xf>
    <xf numFmtId="179" fontId="8" fillId="3" borderId="0" xfId="0" applyNumberFormat="1" applyFont="1" applyFill="1" applyBorder="1" applyAlignment="1" applyProtection="1">
      <alignment horizontal="left" vertical="center" shrinkToFit="1"/>
    </xf>
    <xf numFmtId="0" fontId="6" fillId="3" borderId="6" xfId="0" applyNumberFormat="1" applyFont="1" applyFill="1" applyBorder="1" applyAlignment="1" applyProtection="1">
      <alignment horizontal="left"/>
    </xf>
    <xf numFmtId="0" fontId="6" fillId="3" borderId="7" xfId="0" applyNumberFormat="1" applyFont="1" applyFill="1" applyBorder="1" applyAlignment="1" applyProtection="1">
      <alignment horizontal="left"/>
    </xf>
    <xf numFmtId="0" fontId="6" fillId="3" borderId="0" xfId="0" applyNumberFormat="1" applyFont="1" applyFill="1" applyBorder="1" applyAlignment="1" applyProtection="1">
      <alignment horizontal="left"/>
    </xf>
    <xf numFmtId="0" fontId="6" fillId="3" borderId="4" xfId="0" applyNumberFormat="1" applyFont="1" applyFill="1" applyBorder="1" applyAlignment="1" applyProtection="1">
      <alignment horizontal="left"/>
    </xf>
    <xf numFmtId="0" fontId="6" fillId="3" borderId="6" xfId="0" applyFont="1" applyFill="1" applyBorder="1" applyAlignment="1" applyProtection="1">
      <alignment horizontal="left"/>
    </xf>
    <xf numFmtId="0" fontId="6" fillId="3" borderId="7"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4" xfId="0" applyFont="1" applyFill="1" applyBorder="1" applyAlignment="1" applyProtection="1">
      <alignment horizontal="left"/>
    </xf>
    <xf numFmtId="0" fontId="7" fillId="2" borderId="3" xfId="0" applyFont="1" applyFill="1" applyBorder="1" applyAlignment="1" applyProtection="1">
      <alignment horizontal="left" vertical="center"/>
    </xf>
    <xf numFmtId="0" fontId="7" fillId="3" borderId="12" xfId="1" applyNumberFormat="1" applyFont="1" applyFill="1" applyBorder="1" applyAlignment="1" applyProtection="1">
      <alignment horizontal="right" vertical="center"/>
      <protection locked="0"/>
    </xf>
    <xf numFmtId="0" fontId="7" fillId="3" borderId="13" xfId="1" applyNumberFormat="1" applyFont="1" applyFill="1" applyBorder="1" applyAlignment="1" applyProtection="1">
      <alignment horizontal="right" vertical="center"/>
      <protection locked="0"/>
    </xf>
    <xf numFmtId="179" fontId="8" fillId="3" borderId="0" xfId="0" applyNumberFormat="1" applyFont="1" applyFill="1" applyBorder="1" applyAlignment="1" applyProtection="1">
      <alignment vertical="center" shrinkToFit="1"/>
    </xf>
    <xf numFmtId="0" fontId="0" fillId="2" borderId="1" xfId="0"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0" fontId="15" fillId="3" borderId="0" xfId="0" applyFont="1" applyFill="1" applyAlignment="1" applyProtection="1">
      <alignment horizontal="center" vertical="center" shrinkToFit="1"/>
    </xf>
    <xf numFmtId="0" fontId="10" fillId="3" borderId="0" xfId="0" applyFont="1" applyFill="1" applyAlignment="1" applyProtection="1">
      <alignment horizontal="center" vertical="center" shrinkToFit="1"/>
    </xf>
    <xf numFmtId="0" fontId="0" fillId="2" borderId="14" xfId="0" applyFill="1" applyBorder="1" applyAlignment="1" applyProtection="1">
      <alignment horizontal="right" vertical="center" shrinkToFit="1"/>
    </xf>
    <xf numFmtId="0" fontId="0" fillId="2" borderId="16" xfId="0" applyFill="1" applyBorder="1" applyAlignment="1" applyProtection="1">
      <alignment horizontal="right" vertical="center" shrinkToFit="1"/>
    </xf>
  </cellXfs>
  <cellStyles count="3">
    <cellStyle name="パーセント" xfId="2" builtinId="5"/>
    <cellStyle name="桁区切り" xfId="1" builtinId="6"/>
    <cellStyle name="標準" xfId="0" builtinId="0"/>
  </cellStyles>
  <dxfs count="18">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ont>
        <color rgb="FFFF0000"/>
      </font>
    </dxf>
    <dxf>
      <font>
        <color rgb="FFFF0000"/>
      </font>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E7E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tabSelected="1" workbookViewId="0">
      <selection activeCell="E9" sqref="E9"/>
    </sheetView>
  </sheetViews>
  <sheetFormatPr defaultRowHeight="13.5"/>
  <cols>
    <col min="1" max="1" width="3.625" style="72" customWidth="1"/>
    <col min="2" max="2" width="2.375" style="72" customWidth="1"/>
    <col min="3" max="3" width="14.125" style="72" customWidth="1"/>
    <col min="4" max="4" width="2.25" style="72" customWidth="1"/>
    <col min="5" max="5" width="13.875" style="72" bestFit="1" customWidth="1"/>
    <col min="6" max="6" width="5.875" style="72" customWidth="1"/>
    <col min="7" max="7" width="10.625" style="72" customWidth="1"/>
    <col min="8" max="8" width="28.25" style="72" customWidth="1"/>
    <col min="9" max="9" width="45.375" style="72" customWidth="1"/>
    <col min="10" max="10" width="3.625" style="72" customWidth="1"/>
    <col min="11" max="16384" width="9" style="72"/>
  </cols>
  <sheetData>
    <row r="1" spans="1:10" ht="21">
      <c r="A1" s="1"/>
      <c r="B1" s="71" t="s">
        <v>18</v>
      </c>
      <c r="C1" s="2"/>
      <c r="D1" s="2"/>
      <c r="E1" s="2"/>
      <c r="F1" s="2"/>
      <c r="G1" s="2"/>
      <c r="H1" s="2"/>
      <c r="I1" s="2"/>
      <c r="J1" s="1"/>
    </row>
    <row r="2" spans="1:10" s="73" customFormat="1" ht="12" customHeight="1">
      <c r="A2" s="3"/>
      <c r="B2" s="3"/>
      <c r="C2" s="3"/>
      <c r="D2" s="3"/>
      <c r="E2" s="3"/>
      <c r="F2" s="3"/>
      <c r="G2" s="3"/>
      <c r="H2" s="3"/>
      <c r="I2" s="3"/>
      <c r="J2" s="3"/>
    </row>
    <row r="3" spans="1:10" s="73" customFormat="1" ht="15" customHeight="1">
      <c r="A3" s="3"/>
      <c r="B3" s="4" t="s">
        <v>19</v>
      </c>
      <c r="C3" s="4"/>
      <c r="D3" s="4"/>
      <c r="E3" s="4"/>
      <c r="F3" s="4"/>
      <c r="G3" s="4"/>
      <c r="H3" s="4"/>
      <c r="I3" s="4"/>
      <c r="J3" s="3"/>
    </row>
    <row r="4" spans="1:10" s="73" customFormat="1" ht="15" customHeight="1">
      <c r="A4" s="3"/>
      <c r="B4" s="5" t="s">
        <v>20</v>
      </c>
      <c r="C4" s="4"/>
      <c r="D4" s="4"/>
      <c r="E4" s="4"/>
      <c r="F4" s="4"/>
      <c r="G4" s="4"/>
      <c r="H4" s="4"/>
      <c r="I4" s="4"/>
      <c r="J4" s="3"/>
    </row>
    <row r="5" spans="1:10" s="73" customFormat="1" ht="9.75" customHeight="1">
      <c r="A5" s="3"/>
      <c r="B5" s="7"/>
      <c r="C5" s="8"/>
      <c r="D5" s="8"/>
      <c r="E5" s="8"/>
      <c r="F5" s="8"/>
      <c r="G5" s="8"/>
      <c r="H5" s="8"/>
      <c r="I5" s="8"/>
      <c r="J5" s="3"/>
    </row>
    <row r="6" spans="1:10" s="73" customFormat="1" ht="8.1" customHeight="1">
      <c r="A6" s="95"/>
      <c r="B6" s="26"/>
      <c r="C6" s="27"/>
      <c r="D6" s="28"/>
      <c r="E6" s="28"/>
      <c r="F6" s="28"/>
      <c r="G6" s="28"/>
      <c r="H6" s="28"/>
      <c r="I6" s="29"/>
      <c r="J6" s="3"/>
    </row>
    <row r="7" spans="1:10" s="73" customFormat="1" ht="21.95" customHeight="1">
      <c r="A7" s="95"/>
      <c r="B7" s="19" t="s">
        <v>21</v>
      </c>
      <c r="C7" s="6"/>
      <c r="D7" s="8"/>
      <c r="E7" s="70">
        <f>IF(ROUNDUP(E9*1000*12,-5)&lt;5000001,ROUNDUP(E9*1000*12,-5),5000000)</f>
        <v>0</v>
      </c>
      <c r="F7" s="18" t="s">
        <v>13</v>
      </c>
      <c r="G7" s="7" t="s">
        <v>44</v>
      </c>
      <c r="H7" s="18"/>
      <c r="I7" s="30"/>
      <c r="J7" s="3"/>
    </row>
    <row r="8" spans="1:10" s="73" customFormat="1" ht="14.25" thickBot="1">
      <c r="A8" s="95"/>
      <c r="B8" s="31"/>
      <c r="C8" s="47" t="s">
        <v>23</v>
      </c>
      <c r="D8" s="8"/>
      <c r="E8" s="8"/>
      <c r="F8" s="8"/>
      <c r="G8" s="8"/>
      <c r="H8" s="8"/>
      <c r="I8" s="30"/>
      <c r="J8" s="3"/>
    </row>
    <row r="9" spans="1:10" s="73" customFormat="1" ht="19.5" customHeight="1" thickBot="1">
      <c r="A9" s="95"/>
      <c r="B9" s="31"/>
      <c r="C9" s="47" t="s">
        <v>48</v>
      </c>
      <c r="D9" s="8"/>
      <c r="E9" s="68">
        <v>0</v>
      </c>
      <c r="F9" s="9" t="s">
        <v>24</v>
      </c>
      <c r="G9" s="64" t="str">
        <f>IF(E9=0,"　標準給与 (千円単位) を入力してください","")</f>
        <v>　標準給与 (千円単位) を入力してください</v>
      </c>
      <c r="H9" s="9"/>
      <c r="I9" s="30"/>
      <c r="J9" s="3"/>
    </row>
    <row r="10" spans="1:10" s="73" customFormat="1" ht="8.1" customHeight="1">
      <c r="A10" s="95"/>
      <c r="B10" s="32"/>
      <c r="C10" s="33"/>
      <c r="D10" s="35"/>
      <c r="E10" s="34"/>
      <c r="F10" s="34"/>
      <c r="G10" s="34"/>
      <c r="H10" s="34"/>
      <c r="I10" s="36"/>
      <c r="J10" s="3"/>
    </row>
    <row r="11" spans="1:10" s="73" customFormat="1" ht="8.1" customHeight="1" thickBot="1">
      <c r="A11" s="95"/>
      <c r="B11" s="94"/>
      <c r="C11" s="97"/>
      <c r="D11" s="7"/>
      <c r="E11" s="8"/>
      <c r="F11" s="8"/>
      <c r="G11" s="9"/>
      <c r="H11" s="8"/>
      <c r="I11" s="30"/>
      <c r="J11" s="3"/>
    </row>
    <row r="12" spans="1:10" s="73" customFormat="1" ht="21.95" customHeight="1" thickBot="1">
      <c r="A12" s="95"/>
      <c r="B12" s="124" t="s">
        <v>17</v>
      </c>
      <c r="C12" s="112"/>
      <c r="D12" s="45"/>
      <c r="E12" s="75">
        <v>0.02</v>
      </c>
      <c r="F12" s="9"/>
      <c r="G12" s="8" t="s">
        <v>25</v>
      </c>
      <c r="H12" s="9"/>
      <c r="I12" s="65" t="str">
        <f>IF(E53=1,"　正しく入力されていません","")</f>
        <v/>
      </c>
      <c r="J12" s="3"/>
    </row>
    <row r="13" spans="1:10" s="73" customFormat="1" ht="8.1" customHeight="1">
      <c r="A13" s="95"/>
      <c r="B13" s="37"/>
      <c r="C13" s="38"/>
      <c r="D13" s="46"/>
      <c r="E13" s="39"/>
      <c r="F13" s="39"/>
      <c r="G13" s="39"/>
      <c r="H13" s="39"/>
      <c r="I13" s="36"/>
      <c r="J13" s="3"/>
    </row>
    <row r="14" spans="1:10" s="73" customFormat="1" ht="8.1" customHeight="1" thickBot="1">
      <c r="A14" s="95"/>
      <c r="B14" s="83"/>
      <c r="C14" s="84"/>
      <c r="D14" s="45"/>
      <c r="E14" s="17"/>
      <c r="F14" s="17"/>
      <c r="G14" s="17"/>
      <c r="H14" s="17"/>
      <c r="I14" s="30"/>
      <c r="J14" s="3"/>
    </row>
    <row r="15" spans="1:10" ht="21.95" customHeight="1" thickBot="1">
      <c r="A15" s="85"/>
      <c r="B15" s="124" t="s">
        <v>7</v>
      </c>
      <c r="C15" s="112"/>
      <c r="D15" s="45"/>
      <c r="E15" s="76"/>
      <c r="F15" s="10"/>
      <c r="G15" s="82" t="str">
        <f>IF($E$55=1,"貸付日(希望日)を入力してください",IF(E56&gt;E15,"貸付日(希望日)を入力してください",""))</f>
        <v>貸付日(希望日)を入力してください</v>
      </c>
      <c r="H15" s="10"/>
      <c r="I15" s="20"/>
      <c r="J15" s="1"/>
    </row>
    <row r="16" spans="1:10" ht="8.1" customHeight="1">
      <c r="A16" s="85"/>
      <c r="B16" s="37"/>
      <c r="C16" s="38"/>
      <c r="D16" s="46"/>
      <c r="E16" s="42"/>
      <c r="F16" s="42"/>
      <c r="G16" s="42"/>
      <c r="H16" s="42"/>
      <c r="I16" s="25"/>
      <c r="J16" s="1"/>
    </row>
    <row r="17" spans="1:10" ht="8.1" customHeight="1" thickBot="1">
      <c r="A17" s="85"/>
      <c r="B17" s="83"/>
      <c r="C17" s="84"/>
      <c r="D17" s="45"/>
      <c r="E17" s="40"/>
      <c r="F17" s="40"/>
      <c r="G17" s="40"/>
      <c r="H17" s="40"/>
      <c r="I17" s="20"/>
      <c r="J17" s="1"/>
    </row>
    <row r="18" spans="1:10" ht="21.95" customHeight="1" thickBot="1">
      <c r="A18" s="85"/>
      <c r="B18" s="124" t="s">
        <v>8</v>
      </c>
      <c r="C18" s="112"/>
      <c r="D18" s="45"/>
      <c r="E18" s="68"/>
      <c r="F18" s="9" t="s">
        <v>13</v>
      </c>
      <c r="G18" s="64" t="str">
        <f>IF(E18=0,"借入金額を入力してください",IF(E18&gt;E7,"借入金額が貸付限度額を超えています",""))</f>
        <v>借入金額を入力してください</v>
      </c>
      <c r="H18" s="9"/>
      <c r="I18" s="20"/>
      <c r="J18" s="1"/>
    </row>
    <row r="19" spans="1:10" ht="8.1" customHeight="1">
      <c r="A19" s="85"/>
      <c r="B19" s="37"/>
      <c r="C19" s="38"/>
      <c r="D19" s="46"/>
      <c r="E19" s="41"/>
      <c r="F19" s="41"/>
      <c r="G19" s="41"/>
      <c r="H19" s="41"/>
      <c r="I19" s="25"/>
      <c r="J19" s="1"/>
    </row>
    <row r="20" spans="1:10" ht="8.1" customHeight="1" thickBot="1">
      <c r="A20" s="85"/>
      <c r="B20" s="83"/>
      <c r="C20" s="84"/>
      <c r="D20" s="45"/>
      <c r="E20" s="18"/>
      <c r="F20" s="18"/>
      <c r="G20" s="18"/>
      <c r="H20" s="18"/>
      <c r="I20" s="20"/>
      <c r="J20" s="1"/>
    </row>
    <row r="21" spans="1:10" ht="21.95" customHeight="1" thickBot="1">
      <c r="A21" s="85"/>
      <c r="B21" s="19" t="s">
        <v>12</v>
      </c>
      <c r="C21" s="11"/>
      <c r="D21" s="9"/>
      <c r="E21" s="90" t="s">
        <v>38</v>
      </c>
      <c r="F21" s="7"/>
      <c r="G21" s="7" t="s">
        <v>26</v>
      </c>
      <c r="H21" s="7"/>
      <c r="I21" s="20"/>
      <c r="J21" s="1"/>
    </row>
    <row r="22" spans="1:10" ht="8.1" customHeight="1">
      <c r="A22" s="85"/>
      <c r="B22" s="21"/>
      <c r="C22" s="22"/>
      <c r="D22" s="34"/>
      <c r="E22" s="24"/>
      <c r="F22" s="24"/>
      <c r="G22" s="24"/>
      <c r="H22" s="24"/>
      <c r="I22" s="25"/>
      <c r="J22" s="1"/>
    </row>
    <row r="23" spans="1:10" ht="8.1" customHeight="1" thickBot="1">
      <c r="A23" s="85"/>
      <c r="B23" s="19"/>
      <c r="C23" s="11"/>
      <c r="D23" s="9"/>
      <c r="E23" s="7"/>
      <c r="F23" s="7"/>
      <c r="G23" s="7"/>
      <c r="H23" s="7"/>
      <c r="I23" s="20"/>
      <c r="J23" s="1"/>
    </row>
    <row r="24" spans="1:10" ht="21.95" customHeight="1" thickBot="1">
      <c r="A24" s="85"/>
      <c r="B24" s="19"/>
      <c r="C24" s="11" t="s">
        <v>9</v>
      </c>
      <c r="D24" s="9"/>
      <c r="E24" s="68"/>
      <c r="F24" s="9" t="s">
        <v>13</v>
      </c>
      <c r="G24" s="59" t="str">
        <f>IF($E$18&lt;=1,"",IF(E21="月払のみ","入力不要",IF($E$21="賞与併用払",ROUNDUP($E$18/2,0),"")))</f>
        <v/>
      </c>
      <c r="H24" s="58" t="str">
        <f>IF($E$18&lt;=1,"",IF($E$21="賞与併用払","円以上の月払総額となります",""))</f>
        <v/>
      </c>
      <c r="I24" s="66" t="str">
        <f>IF(E18=0,"",IF($E$24&lt;$G$24,"金額が正しく入力されていません",IF($E$24&gt;$E$18,"金額が正しく入力されていません",IF($E$35=0,"金額が正しく入力されていません",""))))</f>
        <v/>
      </c>
      <c r="J24" s="1"/>
    </row>
    <row r="25" spans="1:10" ht="3.95" customHeight="1">
      <c r="A25" s="85"/>
      <c r="B25" s="94"/>
      <c r="C25" s="97"/>
      <c r="D25" s="7"/>
      <c r="E25" s="9"/>
      <c r="F25" s="7"/>
      <c r="G25" s="98"/>
      <c r="H25" s="99"/>
      <c r="I25" s="100"/>
      <c r="J25" s="1"/>
    </row>
    <row r="26" spans="1:10" ht="15" customHeight="1">
      <c r="A26" s="85"/>
      <c r="B26" s="19"/>
      <c r="C26" s="89" t="s">
        <v>42</v>
      </c>
      <c r="D26" s="9"/>
      <c r="E26" s="9"/>
      <c r="F26" s="9"/>
      <c r="G26" s="59"/>
      <c r="H26" s="58"/>
      <c r="I26" s="66"/>
      <c r="J26" s="1"/>
    </row>
    <row r="27" spans="1:10" ht="12" customHeight="1">
      <c r="A27" s="85"/>
      <c r="B27" s="19"/>
      <c r="C27" s="89" t="s">
        <v>40</v>
      </c>
      <c r="D27" s="9"/>
      <c r="E27" s="87">
        <f>IF($E$18=0,0,IF(E31=0,0,IF($E$21="月払のみ",$E$18-ROUNDDOWN($E$18/$E$31,-1)*($E$31-1),IF($E$21="賞与併用払",$E$24-ROUNDDOWN($E$24/$E$31,-1)*($E$31-1),""))))</f>
        <v>0</v>
      </c>
      <c r="F27" s="7" t="s">
        <v>13</v>
      </c>
      <c r="G27" s="59"/>
      <c r="H27" s="58"/>
      <c r="I27" s="66"/>
      <c r="J27" s="1"/>
    </row>
    <row r="28" spans="1:10" ht="12.75" customHeight="1">
      <c r="A28" s="85"/>
      <c r="B28" s="19"/>
      <c r="C28" s="89" t="s">
        <v>41</v>
      </c>
      <c r="D28" s="9"/>
      <c r="E28" s="87">
        <f>IF(E18=0,0,IF($E$31&lt;2,0,IF($E$21="月払のみ",ROUNDDOWN($E$18/$E$31,-1),IF($E$21="賞与併用払",ROUNDDOWN($E$24/$E$31,-1),""))))</f>
        <v>0</v>
      </c>
      <c r="F28" s="7" t="s">
        <v>13</v>
      </c>
      <c r="G28" s="59"/>
      <c r="H28" s="58"/>
      <c r="I28" s="66"/>
      <c r="J28" s="1"/>
    </row>
    <row r="29" spans="1:10" ht="8.1" customHeight="1">
      <c r="A29" s="85"/>
      <c r="B29" s="21"/>
      <c r="C29" s="22"/>
      <c r="D29" s="34"/>
      <c r="E29" s="41"/>
      <c r="F29" s="41"/>
      <c r="G29" s="41"/>
      <c r="H29" s="41"/>
      <c r="I29" s="25"/>
      <c r="J29" s="1"/>
    </row>
    <row r="30" spans="1:10" ht="8.1" customHeight="1" thickBot="1">
      <c r="A30" s="85"/>
      <c r="B30" s="19"/>
      <c r="C30" s="11"/>
      <c r="D30" s="9"/>
      <c r="E30" s="18"/>
      <c r="F30" s="18"/>
      <c r="G30" s="120" t="s">
        <v>29</v>
      </c>
      <c r="H30" s="120"/>
      <c r="I30" s="121"/>
      <c r="J30" s="1"/>
    </row>
    <row r="31" spans="1:10" ht="9.9499999999999993" customHeight="1">
      <c r="A31" s="85"/>
      <c r="B31" s="19"/>
      <c r="C31" s="112" t="s">
        <v>14</v>
      </c>
      <c r="D31" s="9"/>
      <c r="E31" s="125"/>
      <c r="F31" s="127" t="s">
        <v>27</v>
      </c>
      <c r="G31" s="122"/>
      <c r="H31" s="122"/>
      <c r="I31" s="123"/>
      <c r="J31" s="1"/>
    </row>
    <row r="32" spans="1:10" ht="14.25" thickBot="1">
      <c r="A32" s="96"/>
      <c r="B32" s="19"/>
      <c r="C32" s="112"/>
      <c r="D32" s="9"/>
      <c r="E32" s="126"/>
      <c r="F32" s="127"/>
      <c r="G32" s="103" t="str">
        <f>IF($E$18=0,"",IF($E$18&lt;800000,79,96))</f>
        <v/>
      </c>
      <c r="H32" s="64" t="str">
        <f>IF(E18=0,"",IF(AND(E18&gt;0,E31=0),"　　償還回数を入力してください",IF(E31&gt;G32,"　　償還回数を上回っています","")))</f>
        <v/>
      </c>
      <c r="I32" s="65"/>
      <c r="J32" s="1"/>
    </row>
    <row r="33" spans="1:10" ht="8.1" customHeight="1">
      <c r="A33" s="96"/>
      <c r="B33" s="21"/>
      <c r="C33" s="22"/>
      <c r="D33" s="34"/>
      <c r="E33" s="44"/>
      <c r="F33" s="44"/>
      <c r="G33" s="101"/>
      <c r="H33" s="106"/>
      <c r="I33" s="107"/>
      <c r="J33" s="1"/>
    </row>
    <row r="34" spans="1:10" ht="8.1" customHeight="1" thickBot="1">
      <c r="A34" s="96"/>
      <c r="B34" s="19"/>
      <c r="C34" s="11"/>
      <c r="D34" s="7"/>
      <c r="E34" s="43"/>
      <c r="F34" s="43"/>
      <c r="G34" s="43"/>
      <c r="H34" s="43"/>
      <c r="I34" s="20"/>
      <c r="J34" s="1"/>
    </row>
    <row r="35" spans="1:10" ht="21.95" customHeight="1" thickBot="1">
      <c r="A35" s="85"/>
      <c r="B35" s="19"/>
      <c r="C35" s="11" t="s">
        <v>16</v>
      </c>
      <c r="D35" s="9"/>
      <c r="E35" s="77">
        <f>IF(E21="賞与併用払",IF(AND(E24&gt;=G24,E24&lt;E18),E18-E24,0),0)</f>
        <v>0</v>
      </c>
      <c r="F35" s="9" t="s">
        <v>13</v>
      </c>
      <c r="G35" s="59" t="str">
        <f>IF($E$18&lt;=1,"",IF(E21="月払のみ","入力不要",IF($E$21="賞与併用払",ROUNDDOWN($E$18/2,0),"")))</f>
        <v/>
      </c>
      <c r="H35" s="58" t="str">
        <f>IF($E$18&lt;=1,"",IF($E$21="賞与併用払","円以内の賞与払総額となります",""))</f>
        <v/>
      </c>
      <c r="I35" s="20"/>
      <c r="J35" s="1"/>
    </row>
    <row r="36" spans="1:10" ht="3.95" customHeight="1">
      <c r="A36" s="85"/>
      <c r="B36" s="19"/>
      <c r="C36" s="11"/>
      <c r="D36" s="9"/>
      <c r="E36" s="9"/>
      <c r="F36" s="9"/>
      <c r="G36" s="9"/>
      <c r="H36" s="9"/>
      <c r="I36" s="20"/>
      <c r="J36" s="1"/>
    </row>
    <row r="37" spans="1:10" ht="15" customHeight="1">
      <c r="A37" s="85"/>
      <c r="B37" s="19"/>
      <c r="C37" s="89" t="s">
        <v>43</v>
      </c>
      <c r="D37" s="9"/>
      <c r="E37" s="9"/>
      <c r="F37" s="9"/>
      <c r="G37" s="9"/>
      <c r="H37" s="9"/>
      <c r="I37" s="20"/>
      <c r="J37" s="1"/>
    </row>
    <row r="38" spans="1:10" ht="12" customHeight="1">
      <c r="A38" s="85"/>
      <c r="B38" s="19"/>
      <c r="C38" s="89" t="s">
        <v>40</v>
      </c>
      <c r="D38" s="9"/>
      <c r="E38" s="87">
        <f>IF($E$18=0,0,IF($E$46&gt;0,"",IF($E$21="月払のみ",0,IF($E$21="賞与併用払",$E$35-ROUNDDOWN($E$35/$E$42,-1)*($E$42-1),""))))</f>
        <v>0</v>
      </c>
      <c r="F38" s="7" t="s">
        <v>39</v>
      </c>
      <c r="G38" s="9"/>
      <c r="H38" s="9"/>
      <c r="I38" s="20"/>
      <c r="J38" s="1"/>
    </row>
    <row r="39" spans="1:10" ht="12" customHeight="1">
      <c r="A39" s="85"/>
      <c r="B39" s="19"/>
      <c r="C39" s="89" t="s">
        <v>41</v>
      </c>
      <c r="D39" s="9"/>
      <c r="E39" s="87" t="str">
        <f>IF($E$46&gt;0,"",IF($E$42&lt;2,0,IF($E$21="月払のみ",0,IF($E$21="賞与併用払",ROUNDDOWN($E$35/$E$42,-1),""))))</f>
        <v/>
      </c>
      <c r="F39" s="7" t="s">
        <v>39</v>
      </c>
      <c r="G39" s="9"/>
      <c r="H39" s="9"/>
      <c r="I39" s="20"/>
      <c r="J39" s="1"/>
    </row>
    <row r="40" spans="1:10" ht="8.1" customHeight="1">
      <c r="A40" s="85"/>
      <c r="B40" s="21"/>
      <c r="C40" s="22"/>
      <c r="D40" s="34"/>
      <c r="E40" s="41"/>
      <c r="F40" s="41"/>
      <c r="G40" s="41"/>
      <c r="H40" s="41"/>
      <c r="I40" s="25"/>
      <c r="J40" s="1"/>
    </row>
    <row r="41" spans="1:10" ht="8.1" customHeight="1" thickBot="1">
      <c r="A41" s="85"/>
      <c r="B41" s="19"/>
      <c r="C41" s="11"/>
      <c r="D41" s="9"/>
      <c r="E41" s="18"/>
      <c r="F41" s="18"/>
      <c r="G41" s="116" t="s">
        <v>28</v>
      </c>
      <c r="H41" s="116"/>
      <c r="I41" s="117"/>
      <c r="J41" s="1"/>
    </row>
    <row r="42" spans="1:10" ht="9.9499999999999993" customHeight="1">
      <c r="A42" s="85"/>
      <c r="B42" s="19"/>
      <c r="C42" s="112" t="s">
        <v>15</v>
      </c>
      <c r="D42" s="9"/>
      <c r="E42" s="113"/>
      <c r="F42" s="115" t="s">
        <v>27</v>
      </c>
      <c r="G42" s="118"/>
      <c r="H42" s="118"/>
      <c r="I42" s="119"/>
      <c r="J42" s="1"/>
    </row>
    <row r="43" spans="1:10" ht="14.25" thickBot="1">
      <c r="A43" s="96"/>
      <c r="B43" s="19"/>
      <c r="C43" s="112"/>
      <c r="D43" s="9"/>
      <c r="E43" s="114"/>
      <c r="F43" s="115"/>
      <c r="G43" s="111" t="str">
        <f t="array" ref="G43">IF(E18&lt;1,"",IF(E21="月払のみ","入力不要",IF($E$35&gt;0,COUNT(IF(MONTH(計算結果!C9:C56)=1,計算結果!C9:C56))+COUNT(IF(MONTH(計算結果!C9:C56)=7,計算結果!C9:C56))+COUNT(IF(MONTH(計算結果!K9:K56)=1,計算結果!K9:K56))+COUNT(IF(MONTH(計算結果!K9:K56)=7,計算結果!K9:K56)),0)))</f>
        <v/>
      </c>
      <c r="H43" s="102" t="str">
        <f>IF(E18=0,"",IF(E42&gt;G43,"　償還回数を上回っています",IF(E42&lt;1,"  償還回数を入力してください","")))</f>
        <v/>
      </c>
      <c r="I43" s="66"/>
      <c r="J43" s="1"/>
    </row>
    <row r="44" spans="1:10" ht="8.1" customHeight="1">
      <c r="A44" s="96"/>
      <c r="B44" s="21"/>
      <c r="C44" s="22"/>
      <c r="D44" s="34"/>
      <c r="E44" s="23"/>
      <c r="F44" s="23"/>
      <c r="G44" s="101"/>
      <c r="H44" s="104"/>
      <c r="I44" s="105"/>
      <c r="J44" s="1"/>
    </row>
    <row r="45" spans="1:10" ht="24" customHeight="1">
      <c r="A45" s="1"/>
      <c r="B45" s="5"/>
      <c r="C45" s="5"/>
      <c r="D45" s="5"/>
      <c r="E45" s="67" t="str">
        <f>IF(E46=0,"","正しく入力されていません")</f>
        <v>正しく入力されていません</v>
      </c>
      <c r="F45" s="69"/>
      <c r="G45" s="69"/>
      <c r="H45" s="67" t="str">
        <f>IF(AND(E18&gt;0,E46=0),"【計算結果】参照","")</f>
        <v/>
      </c>
      <c r="I45" s="5"/>
      <c r="J45" s="1"/>
    </row>
    <row r="46" spans="1:10">
      <c r="A46" s="88"/>
      <c r="B46" s="88"/>
      <c r="C46" s="88"/>
      <c r="D46" s="88"/>
      <c r="E46" s="91">
        <f>SUM(E47:E55)</f>
        <v>1</v>
      </c>
      <c r="F46" s="88"/>
      <c r="G46" s="88"/>
      <c r="H46" s="88"/>
      <c r="I46" s="74"/>
    </row>
    <row r="47" spans="1:10">
      <c r="A47" s="88"/>
      <c r="B47" s="88"/>
      <c r="C47" s="88" t="s">
        <v>32</v>
      </c>
      <c r="D47" s="88"/>
      <c r="E47" s="88">
        <f>IF(E18&gt;E7,1,0)</f>
        <v>0</v>
      </c>
      <c r="F47" s="88"/>
      <c r="G47" s="88"/>
      <c r="H47" s="74"/>
    </row>
    <row r="48" spans="1:10">
      <c r="A48" s="88"/>
      <c r="B48" s="88"/>
      <c r="C48" s="88" t="s">
        <v>14</v>
      </c>
      <c r="D48" s="88"/>
      <c r="E48" s="88">
        <f>IF(E18=0,0,IF(E31&gt;G32,1,0))</f>
        <v>0</v>
      </c>
      <c r="F48" s="88"/>
      <c r="G48" s="88"/>
      <c r="H48" s="74"/>
    </row>
    <row r="49" spans="1:8">
      <c r="A49" s="88"/>
      <c r="B49" s="88"/>
      <c r="C49" s="88" t="s">
        <v>30</v>
      </c>
      <c r="D49" s="88"/>
      <c r="E49" s="88">
        <f>IF(E18=0,0,IF(E21="賞与併用払",IF($E$24&lt;$G$24,1,IF($E$24&gt;$E$18,1,IF($E$35=0,1,0))),0))</f>
        <v>0</v>
      </c>
      <c r="F49" s="88"/>
      <c r="G49" s="88"/>
      <c r="H49" s="74"/>
    </row>
    <row r="50" spans="1:8">
      <c r="A50" s="88"/>
      <c r="B50" s="88"/>
      <c r="C50" s="88" t="s">
        <v>31</v>
      </c>
      <c r="D50" s="88"/>
      <c r="E50" s="88">
        <f>IF(E18=0,0,IF(E21="賞与併用払",IF(E42&lt;1,1,IF(E42&gt;G43,1,IF($E$35=0,1,0))),0))</f>
        <v>0</v>
      </c>
      <c r="F50" s="88"/>
      <c r="G50" s="88"/>
      <c r="H50" s="74"/>
    </row>
    <row r="51" spans="1:8">
      <c r="A51" s="88"/>
      <c r="B51" s="88"/>
      <c r="C51" s="88" t="s">
        <v>33</v>
      </c>
      <c r="D51" s="88"/>
      <c r="E51" s="88">
        <f>IF(E18=0,0,IF(AND(E31&lt;49,計算結果!E57+計算結果!F57&lt;&gt;入力フォーム!E18),1,0))</f>
        <v>0</v>
      </c>
      <c r="F51" s="88"/>
      <c r="G51" s="88"/>
      <c r="H51" s="74"/>
    </row>
    <row r="52" spans="1:8">
      <c r="A52" s="88"/>
      <c r="B52" s="88"/>
      <c r="C52" s="88" t="s">
        <v>34</v>
      </c>
      <c r="D52" s="88"/>
      <c r="E52" s="88">
        <f>IF(E18=0,0,IF(E31&lt;49,0,IF(AND(E31&gt;48,計算結果!M58+計算結果!N58&lt;&gt;入力フォーム!E18),1,0)))</f>
        <v>0</v>
      </c>
      <c r="F52" s="88"/>
      <c r="G52" s="88"/>
      <c r="H52" s="74"/>
    </row>
    <row r="53" spans="1:8">
      <c r="A53" s="88"/>
      <c r="B53" s="88"/>
      <c r="C53" s="88" t="s">
        <v>11</v>
      </c>
      <c r="D53" s="88"/>
      <c r="E53" s="88">
        <f>IF(E12="",1,0)</f>
        <v>0</v>
      </c>
      <c r="F53" s="88"/>
      <c r="G53" s="88"/>
      <c r="H53" s="74"/>
    </row>
    <row r="54" spans="1:8">
      <c r="A54" s="88"/>
      <c r="B54" s="88"/>
      <c r="C54" s="88" t="s">
        <v>35</v>
      </c>
      <c r="D54" s="88"/>
      <c r="E54" s="88">
        <f>IF(E21="",1,0)</f>
        <v>0</v>
      </c>
      <c r="F54" s="88"/>
      <c r="G54" s="88"/>
      <c r="H54" s="92"/>
    </row>
    <row r="55" spans="1:8">
      <c r="A55" s="88"/>
      <c r="B55" s="88"/>
      <c r="C55" s="88" t="s">
        <v>36</v>
      </c>
      <c r="D55" s="88"/>
      <c r="E55" s="88">
        <f>IF(E15="",1,0)</f>
        <v>1</v>
      </c>
      <c r="F55" s="88"/>
      <c r="G55" s="88"/>
      <c r="H55" s="74"/>
    </row>
    <row r="56" spans="1:8">
      <c r="A56" s="88"/>
      <c r="B56" s="88"/>
      <c r="C56" s="88" t="s">
        <v>37</v>
      </c>
      <c r="D56" s="88"/>
      <c r="E56" s="93">
        <f ca="1">TODAY()</f>
        <v>44253</v>
      </c>
      <c r="F56" s="88"/>
      <c r="G56" s="88"/>
      <c r="H56" s="74"/>
    </row>
    <row r="57" spans="1:8">
      <c r="A57" s="88"/>
      <c r="B57" s="88"/>
      <c r="C57" s="88"/>
      <c r="D57" s="88"/>
      <c r="E57" s="88"/>
      <c r="F57" s="88"/>
      <c r="G57" s="88"/>
      <c r="H57" s="74"/>
    </row>
    <row r="58" spans="1:8">
      <c r="A58" s="88"/>
      <c r="B58" s="88"/>
      <c r="C58" s="88"/>
      <c r="D58" s="88"/>
      <c r="E58" s="88"/>
      <c r="F58" s="88"/>
      <c r="G58" s="88"/>
      <c r="H58" s="74"/>
    </row>
    <row r="59" spans="1:8">
      <c r="A59" s="88"/>
      <c r="B59" s="88"/>
      <c r="C59" s="88"/>
      <c r="D59" s="88"/>
      <c r="E59" s="88"/>
      <c r="F59" s="88"/>
      <c r="G59" s="88"/>
      <c r="H59" s="74"/>
    </row>
    <row r="60" spans="1:8">
      <c r="A60" s="74"/>
      <c r="B60" s="88"/>
      <c r="C60" s="88"/>
      <c r="D60" s="88"/>
      <c r="E60" s="88"/>
      <c r="F60" s="88"/>
      <c r="G60" s="88"/>
      <c r="H60" s="74"/>
    </row>
    <row r="61" spans="1:8">
      <c r="A61" s="74"/>
      <c r="B61" s="88"/>
      <c r="C61" s="88"/>
      <c r="D61" s="88"/>
      <c r="E61" s="88"/>
      <c r="F61" s="88"/>
      <c r="G61" s="88"/>
      <c r="H61" s="74"/>
    </row>
    <row r="62" spans="1:8">
      <c r="A62" s="74"/>
      <c r="B62" s="74"/>
      <c r="C62" s="74"/>
      <c r="D62" s="74"/>
      <c r="E62" s="74"/>
      <c r="F62" s="74"/>
      <c r="G62" s="74"/>
      <c r="H62" s="74"/>
    </row>
    <row r="63" spans="1:8">
      <c r="A63" s="74"/>
      <c r="B63" s="74"/>
      <c r="C63" s="74"/>
      <c r="D63" s="74"/>
      <c r="E63" s="74"/>
      <c r="F63" s="74"/>
      <c r="G63" s="74"/>
      <c r="H63" s="74"/>
    </row>
    <row r="64" spans="1:8">
      <c r="A64" s="74"/>
      <c r="B64" s="74"/>
      <c r="C64" s="74"/>
      <c r="D64" s="74"/>
      <c r="E64" s="74"/>
      <c r="F64" s="74"/>
      <c r="G64" s="74"/>
      <c r="H64" s="74"/>
    </row>
    <row r="65" spans="1:8">
      <c r="A65" s="74"/>
      <c r="B65" s="74"/>
      <c r="C65" s="74"/>
      <c r="D65" s="74"/>
      <c r="E65" s="74"/>
      <c r="F65" s="74"/>
      <c r="G65" s="74"/>
      <c r="H65" s="74"/>
    </row>
    <row r="66" spans="1:8">
      <c r="A66" s="74"/>
      <c r="B66" s="74"/>
      <c r="C66" s="74"/>
      <c r="D66" s="74"/>
      <c r="E66" s="74"/>
      <c r="F66" s="74"/>
      <c r="G66" s="74"/>
      <c r="H66" s="74"/>
    </row>
    <row r="67" spans="1:8">
      <c r="A67" s="74"/>
      <c r="B67" s="74"/>
      <c r="C67" s="74"/>
      <c r="D67" s="74"/>
      <c r="E67" s="74"/>
      <c r="F67" s="74"/>
      <c r="G67" s="74"/>
      <c r="H67" s="74"/>
    </row>
  </sheetData>
  <sheetProtection password="9301" sheet="1" objects="1" scenarios="1" selectLockedCells="1"/>
  <mergeCells count="11">
    <mergeCell ref="B12:C12"/>
    <mergeCell ref="B15:C15"/>
    <mergeCell ref="B18:C18"/>
    <mergeCell ref="E31:E32"/>
    <mergeCell ref="F31:F32"/>
    <mergeCell ref="C31:C32"/>
    <mergeCell ref="C42:C43"/>
    <mergeCell ref="E42:E43"/>
    <mergeCell ref="F42:F43"/>
    <mergeCell ref="G41:I42"/>
    <mergeCell ref="G30:I31"/>
  </mergeCells>
  <phoneticPr fontId="2"/>
  <conditionalFormatting sqref="E18">
    <cfRule type="expression" dxfId="17" priority="23">
      <formula>$E$47=1</formula>
    </cfRule>
    <cfRule type="expression" dxfId="16" priority="4">
      <formula>$E$18=""</formula>
    </cfRule>
  </conditionalFormatting>
  <conditionalFormatting sqref="E31">
    <cfRule type="expression" dxfId="15" priority="9">
      <formula>AND($E$18&gt;0,$E$31=0)</formula>
    </cfRule>
    <cfRule type="expression" dxfId="14" priority="22">
      <formula>AND($E$18&gt;0,$E$31&gt;$G$32)</formula>
    </cfRule>
  </conditionalFormatting>
  <conditionalFormatting sqref="E35">
    <cfRule type="expression" dxfId="13" priority="11">
      <formula>$E$21="月払のみ"</formula>
    </cfRule>
  </conditionalFormatting>
  <conditionalFormatting sqref="I24:I28">
    <cfRule type="expression" dxfId="12" priority="17">
      <formula>$E$21="賞与併用払"</formula>
    </cfRule>
    <cfRule type="expression" dxfId="11" priority="18">
      <formula>$E$21="賞与払併用"</formula>
    </cfRule>
  </conditionalFormatting>
  <conditionalFormatting sqref="H43">
    <cfRule type="expression" dxfId="10" priority="16">
      <formula>$E$21="賞与併用払"</formula>
    </cfRule>
  </conditionalFormatting>
  <conditionalFormatting sqref="E42">
    <cfRule type="expression" dxfId="9" priority="36">
      <formula>$E$21="月払のみ"</formula>
    </cfRule>
    <cfRule type="expression" dxfId="8" priority="37">
      <formula>$E$50=1</formula>
    </cfRule>
  </conditionalFormatting>
  <conditionalFormatting sqref="E24">
    <cfRule type="expression" dxfId="7" priority="40">
      <formula>$E$21="月払のみ"</formula>
    </cfRule>
    <cfRule type="expression" dxfId="6" priority="41">
      <formula>$E$49=1</formula>
    </cfRule>
  </conditionalFormatting>
  <conditionalFormatting sqref="E9">
    <cfRule type="expression" dxfId="5" priority="7">
      <formula>$E$9=""</formula>
    </cfRule>
    <cfRule type="expression" dxfId="4" priority="2">
      <formula>$E$9=0</formula>
    </cfRule>
  </conditionalFormatting>
  <conditionalFormatting sqref="E12">
    <cfRule type="expression" dxfId="3" priority="6">
      <formula>$E$12=""</formula>
    </cfRule>
  </conditionalFormatting>
  <conditionalFormatting sqref="E15">
    <cfRule type="expression" dxfId="2" priority="5">
      <formula>$E$15=""</formula>
    </cfRule>
  </conditionalFormatting>
  <conditionalFormatting sqref="E21">
    <cfRule type="expression" dxfId="1" priority="1">
      <formula>$E$21=""</formula>
    </cfRule>
  </conditionalFormatting>
  <dataValidations count="12">
    <dataValidation type="whole" allowBlank="1" showInputMessage="1" showErrorMessage="1" sqref="E44:F44">
      <formula1>IF(E41=0,0,1)</formula1>
      <formula2>IF(E41=0,0,#REF!)</formula2>
    </dataValidation>
    <dataValidation type="list" allowBlank="1" showInputMessage="1" showErrorMessage="1" sqref="E21">
      <formula1>"月払のみ,賞与併用払"</formula1>
    </dataValidation>
    <dataValidation type="whole" operator="lessThanOrEqual" allowBlank="1" showInputMessage="1" showErrorMessage="1" error="借入金額が貸付限度額を超えています" sqref="E20:H20">
      <formula1>E8</formula1>
    </dataValidation>
    <dataValidation type="whole" operator="lessThanOrEqual" allowBlank="1" showInputMessage="1" showErrorMessage="1" error="借入金額が貸付限度額を超えています" sqref="E18:E19 F19:H19">
      <formula1>E7</formula1>
    </dataValidation>
    <dataValidation type="whole" allowBlank="1" showInputMessage="1" showErrorMessage="1" sqref="E9:E10 F10:H10">
      <formula1>0</formula1>
      <formula2>2000</formula2>
    </dataValidation>
    <dataValidation type="list" allowBlank="1" showInputMessage="1" showErrorMessage="1" sqref="E12:E14 F13:H14">
      <formula1>"2.0%,0.5%"</formula1>
    </dataValidation>
    <dataValidation type="whole" allowBlank="1" showInputMessage="1" showErrorMessage="1" sqref="E33:F34 G34:H34">
      <formula1>IF(E19=0,0,1)</formula1>
      <formula2>IF(E19=0,0,#REF!)</formula2>
    </dataValidation>
    <dataValidation type="whole" allowBlank="1" showInputMessage="1" showErrorMessage="1" sqref="E29:F30 G29:H29">
      <formula1>ROUNDUP(E19/2,0)</formula1>
      <formula2>E19</formula2>
    </dataValidation>
    <dataValidation type="whole" showInputMessage="1" showErrorMessage="1" sqref="E24">
      <formula1>IF(E21="月払のみ",0,ROUNDUP(E18/2,0))</formula1>
      <formula2>IF(E21="月払のみ",5000000,E18)</formula2>
    </dataValidation>
    <dataValidation type="whole" allowBlank="1" showInputMessage="1" showErrorMessage="1" sqref="E31">
      <formula1>IF(E18=0,0,1)</formula1>
      <formula2>IF(E18=0,0,G32)</formula2>
    </dataValidation>
    <dataValidation type="whole" allowBlank="1" showInputMessage="1" showErrorMessage="1" sqref="E42">
      <formula1>IF(E21="月払のみ",0,IF(E35=0,0,1))</formula1>
      <formula2>IF(E21="月払のみ",16,IF(E35=0,0,G43))</formula2>
    </dataValidation>
    <dataValidation type="date" allowBlank="1" showInputMessage="1" showErrorMessage="1" sqref="E15">
      <formula1>43831</formula1>
      <formula2>51501</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zoomScaleNormal="100" workbookViewId="0">
      <selection activeCell="B1" sqref="B1:P1"/>
    </sheetView>
  </sheetViews>
  <sheetFormatPr defaultRowHeight="13.5"/>
  <cols>
    <col min="1" max="1" width="2.625" style="80" customWidth="1"/>
    <col min="2" max="2" width="5.25" style="79" customWidth="1"/>
    <col min="3" max="3" width="9.375" style="79" bestFit="1" customWidth="1"/>
    <col min="4" max="8" width="9.625" style="79" customWidth="1"/>
    <col min="9" max="9" width="2.375" style="81" customWidth="1"/>
    <col min="10" max="10" width="5.25" style="79" bestFit="1" customWidth="1"/>
    <col min="11" max="11" width="9.375" style="79" bestFit="1" customWidth="1"/>
    <col min="12" max="16" width="9.625" style="79" customWidth="1"/>
    <col min="17" max="17" width="2.625" style="79" customWidth="1"/>
    <col min="18" max="16384" width="9" style="79"/>
  </cols>
  <sheetData>
    <row r="1" spans="1:16" ht="21.95" customHeight="1">
      <c r="A1" s="78"/>
      <c r="B1" s="131" t="s">
        <v>47</v>
      </c>
      <c r="C1" s="131"/>
      <c r="D1" s="131"/>
      <c r="E1" s="131"/>
      <c r="F1" s="131"/>
      <c r="G1" s="131"/>
      <c r="H1" s="131"/>
      <c r="I1" s="131"/>
      <c r="J1" s="131"/>
      <c r="K1" s="131"/>
      <c r="L1" s="131"/>
      <c r="M1" s="131"/>
      <c r="N1" s="131"/>
      <c r="O1" s="131"/>
      <c r="P1" s="131"/>
    </row>
    <row r="2" spans="1:16" ht="12" customHeight="1">
      <c r="A2" s="78"/>
      <c r="B2" s="61"/>
      <c r="C2" s="61"/>
      <c r="D2" s="61"/>
      <c r="E2" s="61"/>
      <c r="F2" s="61"/>
      <c r="G2" s="61"/>
      <c r="H2" s="61"/>
      <c r="I2" s="61"/>
      <c r="J2" s="61"/>
      <c r="K2" s="61"/>
      <c r="L2" s="61"/>
      <c r="M2" s="61"/>
      <c r="N2" s="61"/>
      <c r="O2" s="61"/>
      <c r="P2" s="61"/>
    </row>
    <row r="3" spans="1:16" ht="18" customHeight="1">
      <c r="A3" s="78"/>
      <c r="B3" s="13"/>
      <c r="C3" s="128" t="s">
        <v>7</v>
      </c>
      <c r="D3" s="128" t="s">
        <v>8</v>
      </c>
      <c r="E3" s="132" t="s">
        <v>46</v>
      </c>
      <c r="F3" s="133"/>
      <c r="G3" s="110" t="str">
        <f>入力フォーム!E21</f>
        <v>月払のみ</v>
      </c>
      <c r="H3" s="109"/>
      <c r="I3" s="62"/>
      <c r="J3" s="128" t="s">
        <v>11</v>
      </c>
      <c r="K3" s="129" t="str">
        <f>IF(入力フォーム!$E$46=0,"","***** 正しく入力されていません *****")</f>
        <v>***** 正しく入力されていません *****</v>
      </c>
      <c r="L3" s="130"/>
      <c r="M3" s="130"/>
      <c r="N3" s="130"/>
      <c r="O3" s="130"/>
      <c r="P3" s="130"/>
    </row>
    <row r="4" spans="1:16" ht="18" customHeight="1">
      <c r="A4" s="78"/>
      <c r="B4" s="13"/>
      <c r="C4" s="128"/>
      <c r="D4" s="128"/>
      <c r="E4" s="14" t="s">
        <v>9</v>
      </c>
      <c r="F4" s="15" t="s">
        <v>14</v>
      </c>
      <c r="G4" s="15" t="s">
        <v>16</v>
      </c>
      <c r="H4" s="15" t="s">
        <v>15</v>
      </c>
      <c r="I4" s="62"/>
      <c r="J4" s="128"/>
      <c r="K4" s="13"/>
      <c r="L4" s="12" t="s">
        <v>22</v>
      </c>
      <c r="M4" s="13"/>
      <c r="N4" s="13"/>
      <c r="O4" s="13"/>
      <c r="P4" s="13"/>
    </row>
    <row r="5" spans="1:16" ht="18" customHeight="1">
      <c r="A5" s="78"/>
      <c r="B5" s="13"/>
      <c r="C5" s="48">
        <f>入力フォーム!E15</f>
        <v>0</v>
      </c>
      <c r="D5" s="49">
        <f>入力フォーム!E18</f>
        <v>0</v>
      </c>
      <c r="E5" s="49">
        <f>IF(入力フォーム!E21="月払のみ",入力フォーム!E18,IF(入力フォーム!E21="賞与併用払",入力フォーム!E24,0))</f>
        <v>0</v>
      </c>
      <c r="F5" s="50">
        <f>入力フォーム!E31</f>
        <v>0</v>
      </c>
      <c r="G5" s="50">
        <f>IF(入力フォーム!E21="賞与併用払",入力フォーム!E35,0)</f>
        <v>0</v>
      </c>
      <c r="H5" s="51">
        <f>IF(入力フォーム!E21="賞与併用払",入力フォーム!E42,0)</f>
        <v>0</v>
      </c>
      <c r="I5" s="63"/>
      <c r="J5" s="52">
        <f>入力フォーム!E12</f>
        <v>0.02</v>
      </c>
      <c r="K5" s="13"/>
      <c r="L5" s="53">
        <f>IF(D5&lt;10000,0,IF(D5&lt;=100000,200,IF(D5&lt;=500000,400,IF(D5&lt;=1000000,1000,IF(D5&lt;=5000000,2000,"")))))</f>
        <v>0</v>
      </c>
      <c r="M5" s="13"/>
      <c r="N5" s="13"/>
      <c r="O5" s="13"/>
      <c r="P5" s="13"/>
    </row>
    <row r="6" spans="1:16" ht="16.5" customHeight="1">
      <c r="A6" s="78"/>
      <c r="B6" s="13"/>
      <c r="C6" s="13"/>
      <c r="D6" s="13"/>
      <c r="E6" s="13"/>
      <c r="F6" s="13"/>
      <c r="G6" s="13"/>
      <c r="H6" s="13"/>
      <c r="I6" s="63"/>
      <c r="J6" s="13"/>
      <c r="K6" s="13"/>
      <c r="L6" s="13"/>
      <c r="M6" s="13"/>
      <c r="N6" s="13"/>
      <c r="O6" s="13"/>
      <c r="P6" s="108" t="s">
        <v>45</v>
      </c>
    </row>
    <row r="7" spans="1:16" ht="18" customHeight="1">
      <c r="A7" s="78"/>
      <c r="B7" s="128" t="s">
        <v>0</v>
      </c>
      <c r="C7" s="128" t="s">
        <v>1</v>
      </c>
      <c r="D7" s="128" t="s">
        <v>5</v>
      </c>
      <c r="E7" s="128" t="s">
        <v>4</v>
      </c>
      <c r="F7" s="128"/>
      <c r="G7" s="128"/>
      <c r="H7" s="128" t="s">
        <v>10</v>
      </c>
      <c r="I7" s="63"/>
      <c r="J7" s="128" t="s">
        <v>0</v>
      </c>
      <c r="K7" s="128" t="s">
        <v>1</v>
      </c>
      <c r="L7" s="128" t="s">
        <v>5</v>
      </c>
      <c r="M7" s="128" t="s">
        <v>4</v>
      </c>
      <c r="N7" s="128"/>
      <c r="O7" s="128"/>
      <c r="P7" s="128" t="s">
        <v>10</v>
      </c>
    </row>
    <row r="8" spans="1:16" ht="18" customHeight="1">
      <c r="A8" s="78"/>
      <c r="B8" s="128"/>
      <c r="C8" s="128"/>
      <c r="D8" s="128"/>
      <c r="E8" s="60" t="s">
        <v>2</v>
      </c>
      <c r="F8" s="60" t="s">
        <v>6</v>
      </c>
      <c r="G8" s="16" t="s">
        <v>3</v>
      </c>
      <c r="H8" s="128"/>
      <c r="I8" s="63"/>
      <c r="J8" s="128"/>
      <c r="K8" s="128"/>
      <c r="L8" s="128"/>
      <c r="M8" s="60" t="s">
        <v>2</v>
      </c>
      <c r="N8" s="60" t="s">
        <v>6</v>
      </c>
      <c r="O8" s="60" t="s">
        <v>3</v>
      </c>
      <c r="P8" s="128"/>
    </row>
    <row r="9" spans="1:16" ht="18" customHeight="1">
      <c r="A9" s="78"/>
      <c r="B9" s="51" t="str">
        <f>IF($F$5&gt;=1,1,"")</f>
        <v/>
      </c>
      <c r="C9" s="54" t="str">
        <f>IF(B9&gt;F5,"",DATE(YEAR(C5),MONTH(C5)+1,21))</f>
        <v/>
      </c>
      <c r="D9" s="50" t="str">
        <f>IF(B9&gt;$F$5,"",SUM(E9:G9))</f>
        <v/>
      </c>
      <c r="E9" s="49" t="str">
        <f>IF(B9&gt;F5,"",E5-ROUNDDOWN(E5/F5,-1)*(F5-1))</f>
        <v/>
      </c>
      <c r="F9" s="49" t="str">
        <f>IF(1&gt;$H$5,"",IF(C9="","",IF(OR(MONTH(C9)=1,MONTH(C9)=7),$G$5-ROUNDDOWN($G$5/$H$5,-1)*($H$5-1),"")))</f>
        <v/>
      </c>
      <c r="G9" s="49" t="str">
        <f>IF(B9&gt;F5,"",ROUNDDOWN((DATEDIF(C5,C9,"d")+1)*(ROUNDDOWN($J$5/365,7))*D5,0))</f>
        <v/>
      </c>
      <c r="H9" s="50" t="str">
        <f>IF(B9&gt;F5,"",D5-SUM(E9:F9))</f>
        <v/>
      </c>
      <c r="I9" s="63"/>
      <c r="J9" s="51" t="str">
        <f>IF($F$5&gt;=49,49,"")</f>
        <v/>
      </c>
      <c r="K9" s="54" t="str">
        <f>IF(J9&gt;F5,"",DATE(YEAR(C56),MONTH(C56)+1,21))</f>
        <v/>
      </c>
      <c r="L9" s="50" t="str">
        <f>IF(J9&gt;$F$5,"",SUM(M9:O9))</f>
        <v/>
      </c>
      <c r="M9" s="49" t="str">
        <f>IF(J9&gt;$F$5,"",ROUNDDOWN($E$5/$F$5,-1))</f>
        <v/>
      </c>
      <c r="N9" s="49" t="str">
        <f>IF(9&gt;$H$5,"",IF(K9="","",IF(OR(MONTH(K9)=1,MONTH(K9)=7),ROUNDDOWN($G$5/$H$5,-1),"")))</f>
        <v/>
      </c>
      <c r="O9" s="49" t="str">
        <f>IF(J9&gt;F5,"",ROUNDDOWN((DATEDIF(C56,K9,"d"))*(ROUNDDOWN(J5/365,7))*H56,0))</f>
        <v/>
      </c>
      <c r="P9" s="50" t="str">
        <f>IF(J9&gt;F5,"",H56-SUM(M9:N9))</f>
        <v/>
      </c>
    </row>
    <row r="10" spans="1:16" ht="18" customHeight="1">
      <c r="A10" s="78"/>
      <c r="B10" s="51" t="str">
        <f>IF($F$5&gt;=2,2,"")</f>
        <v/>
      </c>
      <c r="C10" s="54" t="str">
        <f>IF(B10&gt;$F$5,"",DATE(YEAR(C9),MONTH(C9)+1,21))</f>
        <v/>
      </c>
      <c r="D10" s="50" t="str">
        <f t="shared" ref="D10:D56" si="0">IF(B10&gt;$F$5,"",SUM(E10:G10))</f>
        <v/>
      </c>
      <c r="E10" s="49" t="str">
        <f>IF(B10&gt;$F$5,"",ROUNDDOWN($E$5/$F$5,-1))</f>
        <v/>
      </c>
      <c r="F10" s="49" t="str">
        <f t="shared" ref="F10:F14" si="1">IF(1&gt;$H$5,"",IF(C10="","",IF(OR(MONTH(C10)=1,MONTH(C10)=7),$G$5-ROUNDDOWN($G$5/$H$5,-1)*($H$5-1),"")))</f>
        <v/>
      </c>
      <c r="G10" s="49" t="str">
        <f>IF(B10&gt;$F$5,"",ROUNDDOWN((DATEDIF(C9,C10,"d"))*(ROUNDDOWN($J$5/365,7))*H9,0))</f>
        <v/>
      </c>
      <c r="H10" s="50" t="str">
        <f>IF(B10&gt;$F$5,"",H9-SUM(E10:F10))</f>
        <v/>
      </c>
      <c r="I10" s="63"/>
      <c r="J10" s="51" t="str">
        <f>IF($F$5&gt;=50,50,"")</f>
        <v/>
      </c>
      <c r="K10" s="54" t="str">
        <f>IF(J10&gt;$F$5,"",DATE(YEAR(K9),MONTH(K9)+1,21))</f>
        <v/>
      </c>
      <c r="L10" s="50" t="str">
        <f t="shared" ref="L10:L56" si="2">IF(J10&gt;$F$5,"",SUM(M10:O10))</f>
        <v/>
      </c>
      <c r="M10" s="49" t="str">
        <f t="shared" ref="M10:M56" si="3">IF(J10&gt;$F$5,"",ROUNDDOWN($E$5/$F$5,-1))</f>
        <v/>
      </c>
      <c r="N10" s="49" t="str">
        <f t="shared" ref="N10:N14" si="4">IF(9&gt;$H$5,"",IF(K10="","",IF(OR(MONTH(K10)=1,MONTH(K10)=7),ROUNDDOWN($G$5/$H$5,-1),"")))</f>
        <v/>
      </c>
      <c r="O10" s="49" t="str">
        <f>IF(J10&gt;$F$5,"",ROUNDDOWN((DATEDIF(K9,K10,"d"))*(ROUNDDOWN($J$5/365,7))*P9,0))</f>
        <v/>
      </c>
      <c r="P10" s="50" t="str">
        <f>IF(J10&gt;$F$5,"",P9-SUM(M10:N10))</f>
        <v/>
      </c>
    </row>
    <row r="11" spans="1:16" ht="18" customHeight="1">
      <c r="A11" s="78"/>
      <c r="B11" s="51" t="str">
        <f>IF($F$5&gt;=3,3,"")</f>
        <v/>
      </c>
      <c r="C11" s="54" t="str">
        <f t="shared" ref="C11:C56" si="5">IF(B11&gt;$F$5,"",DATE(YEAR(C10),MONTH(C10)+1,21))</f>
        <v/>
      </c>
      <c r="D11" s="50" t="str">
        <f t="shared" si="0"/>
        <v/>
      </c>
      <c r="E11" s="49" t="str">
        <f>IF(B11&gt;$F$5,"",ROUNDDOWN($E$5/$F$5,-1))</f>
        <v/>
      </c>
      <c r="F11" s="49" t="str">
        <f t="shared" si="1"/>
        <v/>
      </c>
      <c r="G11" s="49" t="str">
        <f t="shared" ref="G11:G56" si="6">IF(B11&gt;$F$5,"",ROUNDDOWN((DATEDIF(C10,C11,"d"))*(ROUNDDOWN($J$5/365,7))*H10,0))</f>
        <v/>
      </c>
      <c r="H11" s="50" t="str">
        <f t="shared" ref="H11:H56" si="7">IF(B11&gt;$F$5,"",H10-SUM(E11:F11))</f>
        <v/>
      </c>
      <c r="I11" s="63"/>
      <c r="J11" s="51" t="str">
        <f>IF($F$5&gt;=51,51,"")</f>
        <v/>
      </c>
      <c r="K11" s="54" t="str">
        <f t="shared" ref="K11:K56" si="8">IF(J11&gt;$F$5,"",DATE(YEAR(K10),MONTH(K10)+1,21))</f>
        <v/>
      </c>
      <c r="L11" s="50" t="str">
        <f t="shared" si="2"/>
        <v/>
      </c>
      <c r="M11" s="49" t="str">
        <f t="shared" si="3"/>
        <v/>
      </c>
      <c r="N11" s="49" t="str">
        <f t="shared" si="4"/>
        <v/>
      </c>
      <c r="O11" s="49" t="str">
        <f t="shared" ref="O11:O56" si="9">IF(J11&gt;$F$5,"",ROUNDDOWN((DATEDIF(K10,K11,"d"))*(ROUNDDOWN($J$5/365,7))*P10,0))</f>
        <v/>
      </c>
      <c r="P11" s="50" t="str">
        <f t="shared" ref="P11:P56" si="10">IF(J11&gt;$F$5,"",P10-SUM(M11:N11))</f>
        <v/>
      </c>
    </row>
    <row r="12" spans="1:16" ht="18" customHeight="1">
      <c r="A12" s="78"/>
      <c r="B12" s="51" t="str">
        <f>IF($F$5&gt;=4,4,"")</f>
        <v/>
      </c>
      <c r="C12" s="54" t="str">
        <f t="shared" si="5"/>
        <v/>
      </c>
      <c r="D12" s="50" t="str">
        <f t="shared" si="0"/>
        <v/>
      </c>
      <c r="E12" s="49" t="str">
        <f t="shared" ref="E12:E56" si="11">IF(B12&gt;$F$5,"",ROUNDDOWN($E$5/$F$5,-1))</f>
        <v/>
      </c>
      <c r="F12" s="49" t="str">
        <f t="shared" si="1"/>
        <v/>
      </c>
      <c r="G12" s="49" t="str">
        <f t="shared" si="6"/>
        <v/>
      </c>
      <c r="H12" s="50" t="str">
        <f t="shared" si="7"/>
        <v/>
      </c>
      <c r="I12" s="63"/>
      <c r="J12" s="51" t="str">
        <f>IF($F$5&gt;=52,52,"")</f>
        <v/>
      </c>
      <c r="K12" s="54" t="str">
        <f t="shared" si="8"/>
        <v/>
      </c>
      <c r="L12" s="50" t="str">
        <f t="shared" si="2"/>
        <v/>
      </c>
      <c r="M12" s="49" t="str">
        <f t="shared" si="3"/>
        <v/>
      </c>
      <c r="N12" s="49" t="str">
        <f t="shared" si="4"/>
        <v/>
      </c>
      <c r="O12" s="49" t="str">
        <f t="shared" si="9"/>
        <v/>
      </c>
      <c r="P12" s="50" t="str">
        <f t="shared" si="10"/>
        <v/>
      </c>
    </row>
    <row r="13" spans="1:16" ht="18" customHeight="1">
      <c r="A13" s="78"/>
      <c r="B13" s="51" t="str">
        <f>IF($F$5&gt;=5,5,"")</f>
        <v/>
      </c>
      <c r="C13" s="54" t="str">
        <f t="shared" si="5"/>
        <v/>
      </c>
      <c r="D13" s="50" t="str">
        <f t="shared" si="0"/>
        <v/>
      </c>
      <c r="E13" s="49" t="str">
        <f t="shared" si="11"/>
        <v/>
      </c>
      <c r="F13" s="49" t="str">
        <f t="shared" si="1"/>
        <v/>
      </c>
      <c r="G13" s="49" t="str">
        <f t="shared" si="6"/>
        <v/>
      </c>
      <c r="H13" s="50" t="str">
        <f t="shared" si="7"/>
        <v/>
      </c>
      <c r="I13" s="63"/>
      <c r="J13" s="51" t="str">
        <f>IF($F$5&gt;=53,53,"")</f>
        <v/>
      </c>
      <c r="K13" s="54" t="str">
        <f t="shared" si="8"/>
        <v/>
      </c>
      <c r="L13" s="50" t="str">
        <f t="shared" si="2"/>
        <v/>
      </c>
      <c r="M13" s="49" t="str">
        <f t="shared" si="3"/>
        <v/>
      </c>
      <c r="N13" s="49" t="str">
        <f t="shared" si="4"/>
        <v/>
      </c>
      <c r="O13" s="49" t="str">
        <f t="shared" si="9"/>
        <v/>
      </c>
      <c r="P13" s="50" t="str">
        <f t="shared" si="10"/>
        <v/>
      </c>
    </row>
    <row r="14" spans="1:16" ht="18" customHeight="1">
      <c r="A14" s="78"/>
      <c r="B14" s="51" t="str">
        <f>IF($F$5&gt;=6,6,"")</f>
        <v/>
      </c>
      <c r="C14" s="54" t="str">
        <f t="shared" si="5"/>
        <v/>
      </c>
      <c r="D14" s="50" t="str">
        <f t="shared" si="0"/>
        <v/>
      </c>
      <c r="E14" s="49" t="str">
        <f t="shared" si="11"/>
        <v/>
      </c>
      <c r="F14" s="49" t="str">
        <f t="shared" si="1"/>
        <v/>
      </c>
      <c r="G14" s="49" t="str">
        <f t="shared" si="6"/>
        <v/>
      </c>
      <c r="H14" s="50" t="str">
        <f t="shared" si="7"/>
        <v/>
      </c>
      <c r="I14" s="63"/>
      <c r="J14" s="51" t="str">
        <f>IF($F$5&gt;=54,54,"")</f>
        <v/>
      </c>
      <c r="K14" s="54" t="str">
        <f t="shared" si="8"/>
        <v/>
      </c>
      <c r="L14" s="50" t="str">
        <f t="shared" si="2"/>
        <v/>
      </c>
      <c r="M14" s="49" t="str">
        <f t="shared" si="3"/>
        <v/>
      </c>
      <c r="N14" s="49" t="str">
        <f t="shared" si="4"/>
        <v/>
      </c>
      <c r="O14" s="49" t="str">
        <f t="shared" si="9"/>
        <v/>
      </c>
      <c r="P14" s="50" t="str">
        <f t="shared" si="10"/>
        <v/>
      </c>
    </row>
    <row r="15" spans="1:16" ht="18" customHeight="1">
      <c r="A15" s="78"/>
      <c r="B15" s="51" t="str">
        <f>IF($F$5&gt;=7,7,"")</f>
        <v/>
      </c>
      <c r="C15" s="54" t="str">
        <f t="shared" si="5"/>
        <v/>
      </c>
      <c r="D15" s="50" t="str">
        <f t="shared" si="0"/>
        <v/>
      </c>
      <c r="E15" s="49" t="str">
        <f t="shared" si="11"/>
        <v/>
      </c>
      <c r="F15" s="49" t="str">
        <f>IF(2&gt;$H$5,"",IF(C15="","",IF(OR(MONTH(C15)=1,MONTH(C15)=7),ROUNDDOWN($G$5/$H$5,-1),"")))</f>
        <v/>
      </c>
      <c r="G15" s="49" t="str">
        <f t="shared" si="6"/>
        <v/>
      </c>
      <c r="H15" s="50" t="str">
        <f t="shared" si="7"/>
        <v/>
      </c>
      <c r="I15" s="63"/>
      <c r="J15" s="51" t="str">
        <f>IF($F$5&gt;=55,55,"")</f>
        <v/>
      </c>
      <c r="K15" s="54" t="str">
        <f t="shared" si="8"/>
        <v/>
      </c>
      <c r="L15" s="50" t="str">
        <f t="shared" si="2"/>
        <v/>
      </c>
      <c r="M15" s="49" t="str">
        <f t="shared" si="3"/>
        <v/>
      </c>
      <c r="N15" s="49" t="str">
        <f>IF(10&gt;$H$5,"",IF(K15="","",IF(OR(MONTH(K15)=1,MONTH(K15)=7),ROUNDDOWN($G$5/$H$5,-1),"")))</f>
        <v/>
      </c>
      <c r="O15" s="49" t="str">
        <f t="shared" si="9"/>
        <v/>
      </c>
      <c r="P15" s="50" t="str">
        <f t="shared" si="10"/>
        <v/>
      </c>
    </row>
    <row r="16" spans="1:16" ht="18" customHeight="1">
      <c r="A16" s="78"/>
      <c r="B16" s="51" t="str">
        <f>IF($F$5&gt;=8,8,"")</f>
        <v/>
      </c>
      <c r="C16" s="54" t="str">
        <f t="shared" si="5"/>
        <v/>
      </c>
      <c r="D16" s="50" t="str">
        <f t="shared" si="0"/>
        <v/>
      </c>
      <c r="E16" s="49" t="str">
        <f t="shared" si="11"/>
        <v/>
      </c>
      <c r="F16" s="49" t="str">
        <f t="shared" ref="F16:F20" si="12">IF(2&gt;$H$5,"",IF(C16="","",IF(OR(MONTH(C16)=1,MONTH(C16)=7),ROUNDDOWN($G$5/$H$5,-1),"")))</f>
        <v/>
      </c>
      <c r="G16" s="49" t="str">
        <f t="shared" si="6"/>
        <v/>
      </c>
      <c r="H16" s="50" t="str">
        <f t="shared" si="7"/>
        <v/>
      </c>
      <c r="I16" s="63"/>
      <c r="J16" s="51" t="str">
        <f>IF($F$5&gt;=56,56,"")</f>
        <v/>
      </c>
      <c r="K16" s="54" t="str">
        <f t="shared" si="8"/>
        <v/>
      </c>
      <c r="L16" s="50" t="str">
        <f t="shared" si="2"/>
        <v/>
      </c>
      <c r="M16" s="49" t="str">
        <f t="shared" si="3"/>
        <v/>
      </c>
      <c r="N16" s="49" t="str">
        <f t="shared" ref="N16:N20" si="13">IF(10&gt;$H$5,"",IF(K16="","",IF(OR(MONTH(K16)=1,MONTH(K16)=7),ROUNDDOWN($G$5/$H$5,-1),"")))</f>
        <v/>
      </c>
      <c r="O16" s="49" t="str">
        <f t="shared" si="9"/>
        <v/>
      </c>
      <c r="P16" s="50" t="str">
        <f t="shared" si="10"/>
        <v/>
      </c>
    </row>
    <row r="17" spans="1:16" ht="18" customHeight="1">
      <c r="A17" s="78"/>
      <c r="B17" s="51" t="str">
        <f>IF($F$5&gt;=9,9,"")</f>
        <v/>
      </c>
      <c r="C17" s="54" t="str">
        <f t="shared" si="5"/>
        <v/>
      </c>
      <c r="D17" s="50" t="str">
        <f t="shared" si="0"/>
        <v/>
      </c>
      <c r="E17" s="49" t="str">
        <f t="shared" si="11"/>
        <v/>
      </c>
      <c r="F17" s="49" t="str">
        <f t="shared" si="12"/>
        <v/>
      </c>
      <c r="G17" s="49" t="str">
        <f t="shared" si="6"/>
        <v/>
      </c>
      <c r="H17" s="50" t="str">
        <f t="shared" si="7"/>
        <v/>
      </c>
      <c r="I17" s="63"/>
      <c r="J17" s="51" t="str">
        <f>IF($F$5&gt;=57,57,"")</f>
        <v/>
      </c>
      <c r="K17" s="54" t="str">
        <f t="shared" si="8"/>
        <v/>
      </c>
      <c r="L17" s="50" t="str">
        <f t="shared" si="2"/>
        <v/>
      </c>
      <c r="M17" s="49" t="str">
        <f t="shared" si="3"/>
        <v/>
      </c>
      <c r="N17" s="49" t="str">
        <f t="shared" si="13"/>
        <v/>
      </c>
      <c r="O17" s="49" t="str">
        <f t="shared" si="9"/>
        <v/>
      </c>
      <c r="P17" s="50" t="str">
        <f t="shared" si="10"/>
        <v/>
      </c>
    </row>
    <row r="18" spans="1:16" ht="18" customHeight="1">
      <c r="A18" s="78"/>
      <c r="B18" s="51" t="str">
        <f>IF($F$5&gt;=10,10,"")</f>
        <v/>
      </c>
      <c r="C18" s="54" t="str">
        <f t="shared" si="5"/>
        <v/>
      </c>
      <c r="D18" s="50" t="str">
        <f t="shared" si="0"/>
        <v/>
      </c>
      <c r="E18" s="49" t="str">
        <f t="shared" si="11"/>
        <v/>
      </c>
      <c r="F18" s="49" t="str">
        <f t="shared" si="12"/>
        <v/>
      </c>
      <c r="G18" s="49" t="str">
        <f t="shared" si="6"/>
        <v/>
      </c>
      <c r="H18" s="50" t="str">
        <f t="shared" si="7"/>
        <v/>
      </c>
      <c r="I18" s="63"/>
      <c r="J18" s="51" t="str">
        <f>IF($F$5&gt;=58,58,"")</f>
        <v/>
      </c>
      <c r="K18" s="54" t="str">
        <f t="shared" si="8"/>
        <v/>
      </c>
      <c r="L18" s="50" t="str">
        <f t="shared" si="2"/>
        <v/>
      </c>
      <c r="M18" s="49" t="str">
        <f t="shared" si="3"/>
        <v/>
      </c>
      <c r="N18" s="49" t="str">
        <f t="shared" si="13"/>
        <v/>
      </c>
      <c r="O18" s="49" t="str">
        <f t="shared" si="9"/>
        <v/>
      </c>
      <c r="P18" s="50" t="str">
        <f t="shared" si="10"/>
        <v/>
      </c>
    </row>
    <row r="19" spans="1:16" ht="18" customHeight="1">
      <c r="A19" s="78"/>
      <c r="B19" s="51" t="str">
        <f>IF($F$5&gt;=11,11,"")</f>
        <v/>
      </c>
      <c r="C19" s="54" t="str">
        <f t="shared" si="5"/>
        <v/>
      </c>
      <c r="D19" s="50" t="str">
        <f t="shared" si="0"/>
        <v/>
      </c>
      <c r="E19" s="49" t="str">
        <f t="shared" si="11"/>
        <v/>
      </c>
      <c r="F19" s="49" t="str">
        <f t="shared" si="12"/>
        <v/>
      </c>
      <c r="G19" s="49" t="str">
        <f t="shared" si="6"/>
        <v/>
      </c>
      <c r="H19" s="50" t="str">
        <f t="shared" si="7"/>
        <v/>
      </c>
      <c r="I19" s="63"/>
      <c r="J19" s="51" t="str">
        <f>IF($F$5&gt;=59,59,"")</f>
        <v/>
      </c>
      <c r="K19" s="54" t="str">
        <f t="shared" si="8"/>
        <v/>
      </c>
      <c r="L19" s="50" t="str">
        <f t="shared" si="2"/>
        <v/>
      </c>
      <c r="M19" s="49" t="str">
        <f t="shared" si="3"/>
        <v/>
      </c>
      <c r="N19" s="49" t="str">
        <f t="shared" si="13"/>
        <v/>
      </c>
      <c r="O19" s="49" t="str">
        <f t="shared" si="9"/>
        <v/>
      </c>
      <c r="P19" s="50" t="str">
        <f t="shared" si="10"/>
        <v/>
      </c>
    </row>
    <row r="20" spans="1:16" ht="18" customHeight="1">
      <c r="A20" s="78"/>
      <c r="B20" s="51" t="str">
        <f>IF($F$5&gt;=12,12,"")</f>
        <v/>
      </c>
      <c r="C20" s="54" t="str">
        <f t="shared" si="5"/>
        <v/>
      </c>
      <c r="D20" s="50" t="str">
        <f t="shared" si="0"/>
        <v/>
      </c>
      <c r="E20" s="49" t="str">
        <f t="shared" si="11"/>
        <v/>
      </c>
      <c r="F20" s="49" t="str">
        <f t="shared" si="12"/>
        <v/>
      </c>
      <c r="G20" s="49" t="str">
        <f t="shared" si="6"/>
        <v/>
      </c>
      <c r="H20" s="50" t="str">
        <f t="shared" si="7"/>
        <v/>
      </c>
      <c r="I20" s="63"/>
      <c r="J20" s="51" t="str">
        <f>IF($F$5&gt;=60,60,"")</f>
        <v/>
      </c>
      <c r="K20" s="54" t="str">
        <f t="shared" si="8"/>
        <v/>
      </c>
      <c r="L20" s="50" t="str">
        <f t="shared" si="2"/>
        <v/>
      </c>
      <c r="M20" s="49" t="str">
        <f t="shared" si="3"/>
        <v/>
      </c>
      <c r="N20" s="49" t="str">
        <f t="shared" si="13"/>
        <v/>
      </c>
      <c r="O20" s="49" t="str">
        <f t="shared" si="9"/>
        <v/>
      </c>
      <c r="P20" s="50" t="str">
        <f t="shared" si="10"/>
        <v/>
      </c>
    </row>
    <row r="21" spans="1:16" ht="18" customHeight="1">
      <c r="A21" s="78"/>
      <c r="B21" s="51" t="str">
        <f>IF($F$5&gt;=13,13,"")</f>
        <v/>
      </c>
      <c r="C21" s="54" t="str">
        <f t="shared" si="5"/>
        <v/>
      </c>
      <c r="D21" s="50" t="str">
        <f t="shared" si="0"/>
        <v/>
      </c>
      <c r="E21" s="49" t="str">
        <f t="shared" si="11"/>
        <v/>
      </c>
      <c r="F21" s="49" t="str">
        <f>IF(3&gt;$H$5,"",IF(C21="","",IF(OR(MONTH(C21)=1,MONTH(C21)=7),ROUNDDOWN($G$5/$H$5,-1),"")))</f>
        <v/>
      </c>
      <c r="G21" s="49" t="str">
        <f t="shared" si="6"/>
        <v/>
      </c>
      <c r="H21" s="50" t="str">
        <f t="shared" si="7"/>
        <v/>
      </c>
      <c r="I21" s="63"/>
      <c r="J21" s="51" t="str">
        <f>IF($F$5&gt;=61,61,"")</f>
        <v/>
      </c>
      <c r="K21" s="54" t="str">
        <f t="shared" si="8"/>
        <v/>
      </c>
      <c r="L21" s="50" t="str">
        <f t="shared" si="2"/>
        <v/>
      </c>
      <c r="M21" s="49" t="str">
        <f t="shared" si="3"/>
        <v/>
      </c>
      <c r="N21" s="49" t="str">
        <f>IF(11&gt;$H$5,"",IF(K21="","",IF(OR(MONTH(K21)=1,MONTH(K21)=7),ROUNDDOWN($G$5/$H$5,-1),"")))</f>
        <v/>
      </c>
      <c r="O21" s="49" t="str">
        <f t="shared" si="9"/>
        <v/>
      </c>
      <c r="P21" s="50" t="str">
        <f t="shared" si="10"/>
        <v/>
      </c>
    </row>
    <row r="22" spans="1:16" ht="18" customHeight="1">
      <c r="A22" s="78"/>
      <c r="B22" s="51" t="str">
        <f>IF($F$5&gt;=14,14,"")</f>
        <v/>
      </c>
      <c r="C22" s="54" t="str">
        <f t="shared" si="5"/>
        <v/>
      </c>
      <c r="D22" s="50" t="str">
        <f t="shared" si="0"/>
        <v/>
      </c>
      <c r="E22" s="49" t="str">
        <f t="shared" si="11"/>
        <v/>
      </c>
      <c r="F22" s="49" t="str">
        <f t="shared" ref="F22:F26" si="14">IF(3&gt;$H$5,"",IF(C22="","",IF(OR(MONTH(C22)=1,MONTH(C22)=7),ROUNDDOWN($G$5/$H$5,-1),"")))</f>
        <v/>
      </c>
      <c r="G22" s="49" t="str">
        <f t="shared" si="6"/>
        <v/>
      </c>
      <c r="H22" s="50" t="str">
        <f t="shared" si="7"/>
        <v/>
      </c>
      <c r="I22" s="63"/>
      <c r="J22" s="51" t="str">
        <f>IF($F$5&gt;=62,62,"")</f>
        <v/>
      </c>
      <c r="K22" s="54" t="str">
        <f t="shared" si="8"/>
        <v/>
      </c>
      <c r="L22" s="50" t="str">
        <f t="shared" si="2"/>
        <v/>
      </c>
      <c r="M22" s="49" t="str">
        <f t="shared" si="3"/>
        <v/>
      </c>
      <c r="N22" s="49" t="str">
        <f t="shared" ref="N22:N26" si="15">IF(11&gt;$H$5,"",IF(K22="","",IF(OR(MONTH(K22)=1,MONTH(K22)=7),ROUNDDOWN($G$5/$H$5,-1),"")))</f>
        <v/>
      </c>
      <c r="O22" s="49" t="str">
        <f t="shared" si="9"/>
        <v/>
      </c>
      <c r="P22" s="50" t="str">
        <f t="shared" si="10"/>
        <v/>
      </c>
    </row>
    <row r="23" spans="1:16" ht="18" customHeight="1">
      <c r="A23" s="78"/>
      <c r="B23" s="51" t="str">
        <f>IF($F$5&gt;=15,15,"")</f>
        <v/>
      </c>
      <c r="C23" s="54" t="str">
        <f t="shared" si="5"/>
        <v/>
      </c>
      <c r="D23" s="50" t="str">
        <f t="shared" si="0"/>
        <v/>
      </c>
      <c r="E23" s="49" t="str">
        <f t="shared" si="11"/>
        <v/>
      </c>
      <c r="F23" s="49" t="str">
        <f t="shared" si="14"/>
        <v/>
      </c>
      <c r="G23" s="49" t="str">
        <f t="shared" si="6"/>
        <v/>
      </c>
      <c r="H23" s="50" t="str">
        <f t="shared" si="7"/>
        <v/>
      </c>
      <c r="I23" s="63"/>
      <c r="J23" s="51" t="str">
        <f>IF($F$5&gt;=63,63,"")</f>
        <v/>
      </c>
      <c r="K23" s="54" t="str">
        <f t="shared" si="8"/>
        <v/>
      </c>
      <c r="L23" s="50" t="str">
        <f t="shared" si="2"/>
        <v/>
      </c>
      <c r="M23" s="49" t="str">
        <f t="shared" si="3"/>
        <v/>
      </c>
      <c r="N23" s="49" t="str">
        <f t="shared" si="15"/>
        <v/>
      </c>
      <c r="O23" s="49" t="str">
        <f t="shared" si="9"/>
        <v/>
      </c>
      <c r="P23" s="50" t="str">
        <f t="shared" si="10"/>
        <v/>
      </c>
    </row>
    <row r="24" spans="1:16" ht="18" customHeight="1">
      <c r="A24" s="78"/>
      <c r="B24" s="51" t="str">
        <f>IF($F$5&gt;=16,16,"")</f>
        <v/>
      </c>
      <c r="C24" s="54" t="str">
        <f t="shared" si="5"/>
        <v/>
      </c>
      <c r="D24" s="50" t="str">
        <f t="shared" si="0"/>
        <v/>
      </c>
      <c r="E24" s="49" t="str">
        <f t="shared" si="11"/>
        <v/>
      </c>
      <c r="F24" s="49" t="str">
        <f t="shared" si="14"/>
        <v/>
      </c>
      <c r="G24" s="49" t="str">
        <f t="shared" si="6"/>
        <v/>
      </c>
      <c r="H24" s="50" t="str">
        <f t="shared" si="7"/>
        <v/>
      </c>
      <c r="I24" s="63"/>
      <c r="J24" s="51" t="str">
        <f>IF($F$5&gt;=64,64,"")</f>
        <v/>
      </c>
      <c r="K24" s="54" t="str">
        <f t="shared" si="8"/>
        <v/>
      </c>
      <c r="L24" s="50" t="str">
        <f t="shared" si="2"/>
        <v/>
      </c>
      <c r="M24" s="49" t="str">
        <f t="shared" si="3"/>
        <v/>
      </c>
      <c r="N24" s="49" t="str">
        <f t="shared" si="15"/>
        <v/>
      </c>
      <c r="O24" s="49" t="str">
        <f t="shared" si="9"/>
        <v/>
      </c>
      <c r="P24" s="50" t="str">
        <f t="shared" si="10"/>
        <v/>
      </c>
    </row>
    <row r="25" spans="1:16" ht="18" customHeight="1">
      <c r="A25" s="78"/>
      <c r="B25" s="51" t="str">
        <f>IF($F$5&gt;=17,17,"")</f>
        <v/>
      </c>
      <c r="C25" s="54" t="str">
        <f t="shared" si="5"/>
        <v/>
      </c>
      <c r="D25" s="50" t="str">
        <f t="shared" si="0"/>
        <v/>
      </c>
      <c r="E25" s="49" t="str">
        <f t="shared" si="11"/>
        <v/>
      </c>
      <c r="F25" s="49" t="str">
        <f t="shared" si="14"/>
        <v/>
      </c>
      <c r="G25" s="49" t="str">
        <f t="shared" si="6"/>
        <v/>
      </c>
      <c r="H25" s="50" t="str">
        <f t="shared" si="7"/>
        <v/>
      </c>
      <c r="I25" s="63"/>
      <c r="J25" s="51" t="str">
        <f>IF($F$5&gt;=65,65,"")</f>
        <v/>
      </c>
      <c r="K25" s="54" t="str">
        <f t="shared" si="8"/>
        <v/>
      </c>
      <c r="L25" s="50" t="str">
        <f t="shared" si="2"/>
        <v/>
      </c>
      <c r="M25" s="49" t="str">
        <f t="shared" si="3"/>
        <v/>
      </c>
      <c r="N25" s="49" t="str">
        <f t="shared" si="15"/>
        <v/>
      </c>
      <c r="O25" s="49" t="str">
        <f t="shared" si="9"/>
        <v/>
      </c>
      <c r="P25" s="50" t="str">
        <f t="shared" si="10"/>
        <v/>
      </c>
    </row>
    <row r="26" spans="1:16" ht="18" customHeight="1">
      <c r="A26" s="78"/>
      <c r="B26" s="51" t="str">
        <f>IF($F$5&gt;=18,18,"")</f>
        <v/>
      </c>
      <c r="C26" s="54" t="str">
        <f t="shared" si="5"/>
        <v/>
      </c>
      <c r="D26" s="50" t="str">
        <f t="shared" si="0"/>
        <v/>
      </c>
      <c r="E26" s="49" t="str">
        <f t="shared" si="11"/>
        <v/>
      </c>
      <c r="F26" s="49" t="str">
        <f t="shared" si="14"/>
        <v/>
      </c>
      <c r="G26" s="49" t="str">
        <f t="shared" si="6"/>
        <v/>
      </c>
      <c r="H26" s="50" t="str">
        <f t="shared" si="7"/>
        <v/>
      </c>
      <c r="I26" s="63"/>
      <c r="J26" s="51" t="str">
        <f>IF($F$5&gt;=66,66,"")</f>
        <v/>
      </c>
      <c r="K26" s="54" t="str">
        <f t="shared" si="8"/>
        <v/>
      </c>
      <c r="L26" s="50" t="str">
        <f t="shared" si="2"/>
        <v/>
      </c>
      <c r="M26" s="49" t="str">
        <f t="shared" si="3"/>
        <v/>
      </c>
      <c r="N26" s="49" t="str">
        <f t="shared" si="15"/>
        <v/>
      </c>
      <c r="O26" s="49" t="str">
        <f t="shared" si="9"/>
        <v/>
      </c>
      <c r="P26" s="50" t="str">
        <f t="shared" si="10"/>
        <v/>
      </c>
    </row>
    <row r="27" spans="1:16" ht="18" customHeight="1">
      <c r="A27" s="78"/>
      <c r="B27" s="51" t="str">
        <f>IF($F$5&gt;=19,19,"")</f>
        <v/>
      </c>
      <c r="C27" s="54" t="str">
        <f t="shared" si="5"/>
        <v/>
      </c>
      <c r="D27" s="50" t="str">
        <f t="shared" si="0"/>
        <v/>
      </c>
      <c r="E27" s="49" t="str">
        <f t="shared" si="11"/>
        <v/>
      </c>
      <c r="F27" s="49" t="str">
        <f>IF(4&gt;$H$5,"",IF(C27="","",IF(OR(MONTH(C27)=1,MONTH(C27)=7),ROUNDDOWN($G$5/$H$5,-1),"")))</f>
        <v/>
      </c>
      <c r="G27" s="49" t="str">
        <f t="shared" si="6"/>
        <v/>
      </c>
      <c r="H27" s="50" t="str">
        <f t="shared" si="7"/>
        <v/>
      </c>
      <c r="I27" s="63"/>
      <c r="J27" s="51" t="str">
        <f>IF($F$5&gt;=67,67,"")</f>
        <v/>
      </c>
      <c r="K27" s="54" t="str">
        <f t="shared" si="8"/>
        <v/>
      </c>
      <c r="L27" s="50" t="str">
        <f t="shared" si="2"/>
        <v/>
      </c>
      <c r="M27" s="49" t="str">
        <f t="shared" si="3"/>
        <v/>
      </c>
      <c r="N27" s="49" t="str">
        <f>IF(12&gt;$H$5,"",IF(K27="","",IF(OR(MONTH(K27)=1,MONTH(K27)=7),ROUNDDOWN($G$5/$H$5,-1),"")))</f>
        <v/>
      </c>
      <c r="O27" s="49" t="str">
        <f t="shared" si="9"/>
        <v/>
      </c>
      <c r="P27" s="50" t="str">
        <f t="shared" si="10"/>
        <v/>
      </c>
    </row>
    <row r="28" spans="1:16" ht="18" customHeight="1">
      <c r="A28" s="78"/>
      <c r="B28" s="51" t="str">
        <f>IF($F$5&gt;=20,20,"")</f>
        <v/>
      </c>
      <c r="C28" s="54" t="str">
        <f t="shared" si="5"/>
        <v/>
      </c>
      <c r="D28" s="50" t="str">
        <f t="shared" si="0"/>
        <v/>
      </c>
      <c r="E28" s="49" t="str">
        <f t="shared" si="11"/>
        <v/>
      </c>
      <c r="F28" s="49" t="str">
        <f t="shared" ref="F28:F32" si="16">IF(4&gt;$H$5,"",IF(C28="","",IF(OR(MONTH(C28)=1,MONTH(C28)=7),ROUNDDOWN($G$5/$H$5,-1),"")))</f>
        <v/>
      </c>
      <c r="G28" s="49" t="str">
        <f t="shared" si="6"/>
        <v/>
      </c>
      <c r="H28" s="50" t="str">
        <f t="shared" si="7"/>
        <v/>
      </c>
      <c r="I28" s="63"/>
      <c r="J28" s="51" t="str">
        <f>IF($F$5&gt;=68,68,"")</f>
        <v/>
      </c>
      <c r="K28" s="54" t="str">
        <f t="shared" si="8"/>
        <v/>
      </c>
      <c r="L28" s="50" t="str">
        <f t="shared" si="2"/>
        <v/>
      </c>
      <c r="M28" s="49" t="str">
        <f t="shared" si="3"/>
        <v/>
      </c>
      <c r="N28" s="49" t="str">
        <f t="shared" ref="N28:N32" si="17">IF(12&gt;$H$5,"",IF(K28="","",IF(OR(MONTH(K28)=1,MONTH(K28)=7),ROUNDDOWN($G$5/$H$5,-1),"")))</f>
        <v/>
      </c>
      <c r="O28" s="49" t="str">
        <f t="shared" si="9"/>
        <v/>
      </c>
      <c r="P28" s="50" t="str">
        <f t="shared" si="10"/>
        <v/>
      </c>
    </row>
    <row r="29" spans="1:16" ht="18" customHeight="1">
      <c r="A29" s="78"/>
      <c r="B29" s="51" t="str">
        <f>IF($F$5&gt;=21,21,"")</f>
        <v/>
      </c>
      <c r="C29" s="54" t="str">
        <f t="shared" si="5"/>
        <v/>
      </c>
      <c r="D29" s="50" t="str">
        <f t="shared" si="0"/>
        <v/>
      </c>
      <c r="E29" s="49" t="str">
        <f t="shared" si="11"/>
        <v/>
      </c>
      <c r="F29" s="49" t="str">
        <f t="shared" si="16"/>
        <v/>
      </c>
      <c r="G29" s="49" t="str">
        <f t="shared" si="6"/>
        <v/>
      </c>
      <c r="H29" s="50" t="str">
        <f t="shared" si="7"/>
        <v/>
      </c>
      <c r="I29" s="63"/>
      <c r="J29" s="51" t="str">
        <f>IF($F$5&gt;=69,69,"")</f>
        <v/>
      </c>
      <c r="K29" s="54" t="str">
        <f t="shared" si="8"/>
        <v/>
      </c>
      <c r="L29" s="50" t="str">
        <f t="shared" si="2"/>
        <v/>
      </c>
      <c r="M29" s="49" t="str">
        <f t="shared" si="3"/>
        <v/>
      </c>
      <c r="N29" s="49" t="str">
        <f t="shared" si="17"/>
        <v/>
      </c>
      <c r="O29" s="49" t="str">
        <f t="shared" si="9"/>
        <v/>
      </c>
      <c r="P29" s="50" t="str">
        <f t="shared" si="10"/>
        <v/>
      </c>
    </row>
    <row r="30" spans="1:16" ht="18" customHeight="1">
      <c r="A30" s="78"/>
      <c r="B30" s="51" t="str">
        <f>IF($F$5&gt;=22,22,"")</f>
        <v/>
      </c>
      <c r="C30" s="54" t="str">
        <f t="shared" si="5"/>
        <v/>
      </c>
      <c r="D30" s="50" t="str">
        <f t="shared" si="0"/>
        <v/>
      </c>
      <c r="E30" s="49" t="str">
        <f t="shared" si="11"/>
        <v/>
      </c>
      <c r="F30" s="49" t="str">
        <f t="shared" si="16"/>
        <v/>
      </c>
      <c r="G30" s="49" t="str">
        <f t="shared" si="6"/>
        <v/>
      </c>
      <c r="H30" s="50" t="str">
        <f t="shared" si="7"/>
        <v/>
      </c>
      <c r="I30" s="63"/>
      <c r="J30" s="51" t="str">
        <f>IF($F$5&gt;=70,70,"")</f>
        <v/>
      </c>
      <c r="K30" s="54" t="str">
        <f t="shared" si="8"/>
        <v/>
      </c>
      <c r="L30" s="50" t="str">
        <f t="shared" si="2"/>
        <v/>
      </c>
      <c r="M30" s="49" t="str">
        <f t="shared" si="3"/>
        <v/>
      </c>
      <c r="N30" s="49" t="str">
        <f t="shared" si="17"/>
        <v/>
      </c>
      <c r="O30" s="49" t="str">
        <f t="shared" si="9"/>
        <v/>
      </c>
      <c r="P30" s="50" t="str">
        <f t="shared" si="10"/>
        <v/>
      </c>
    </row>
    <row r="31" spans="1:16" ht="18" customHeight="1">
      <c r="A31" s="78"/>
      <c r="B31" s="51" t="str">
        <f>IF($F$5&gt;=23,23,"")</f>
        <v/>
      </c>
      <c r="C31" s="54" t="str">
        <f t="shared" si="5"/>
        <v/>
      </c>
      <c r="D31" s="50" t="str">
        <f t="shared" si="0"/>
        <v/>
      </c>
      <c r="E31" s="49" t="str">
        <f t="shared" si="11"/>
        <v/>
      </c>
      <c r="F31" s="49" t="str">
        <f t="shared" si="16"/>
        <v/>
      </c>
      <c r="G31" s="49" t="str">
        <f t="shared" si="6"/>
        <v/>
      </c>
      <c r="H31" s="50" t="str">
        <f t="shared" si="7"/>
        <v/>
      </c>
      <c r="I31" s="63"/>
      <c r="J31" s="51" t="str">
        <f>IF($F$5&gt;=71,71,"")</f>
        <v/>
      </c>
      <c r="K31" s="54" t="str">
        <f t="shared" si="8"/>
        <v/>
      </c>
      <c r="L31" s="50" t="str">
        <f t="shared" si="2"/>
        <v/>
      </c>
      <c r="M31" s="49" t="str">
        <f t="shared" si="3"/>
        <v/>
      </c>
      <c r="N31" s="49" t="str">
        <f t="shared" si="17"/>
        <v/>
      </c>
      <c r="O31" s="49" t="str">
        <f t="shared" si="9"/>
        <v/>
      </c>
      <c r="P31" s="50" t="str">
        <f t="shared" si="10"/>
        <v/>
      </c>
    </row>
    <row r="32" spans="1:16" ht="18" customHeight="1">
      <c r="A32" s="78"/>
      <c r="B32" s="51" t="str">
        <f>IF($F$5&gt;=24,24,"")</f>
        <v/>
      </c>
      <c r="C32" s="54" t="str">
        <f t="shared" si="5"/>
        <v/>
      </c>
      <c r="D32" s="50" t="str">
        <f t="shared" si="0"/>
        <v/>
      </c>
      <c r="E32" s="49" t="str">
        <f t="shared" si="11"/>
        <v/>
      </c>
      <c r="F32" s="49" t="str">
        <f t="shared" si="16"/>
        <v/>
      </c>
      <c r="G32" s="49" t="str">
        <f t="shared" si="6"/>
        <v/>
      </c>
      <c r="H32" s="50" t="str">
        <f t="shared" si="7"/>
        <v/>
      </c>
      <c r="I32" s="63"/>
      <c r="J32" s="51" t="str">
        <f>IF($F$5&gt;=72,72,"")</f>
        <v/>
      </c>
      <c r="K32" s="54" t="str">
        <f t="shared" si="8"/>
        <v/>
      </c>
      <c r="L32" s="50" t="str">
        <f t="shared" si="2"/>
        <v/>
      </c>
      <c r="M32" s="49" t="str">
        <f t="shared" si="3"/>
        <v/>
      </c>
      <c r="N32" s="49" t="str">
        <f t="shared" si="17"/>
        <v/>
      </c>
      <c r="O32" s="49" t="str">
        <f t="shared" si="9"/>
        <v/>
      </c>
      <c r="P32" s="50" t="str">
        <f t="shared" si="10"/>
        <v/>
      </c>
    </row>
    <row r="33" spans="1:16" ht="18" customHeight="1">
      <c r="A33" s="78"/>
      <c r="B33" s="51" t="str">
        <f>IF($F$5&gt;=25,25,"")</f>
        <v/>
      </c>
      <c r="C33" s="54" t="str">
        <f t="shared" si="5"/>
        <v/>
      </c>
      <c r="D33" s="50" t="str">
        <f t="shared" si="0"/>
        <v/>
      </c>
      <c r="E33" s="49" t="str">
        <f t="shared" si="11"/>
        <v/>
      </c>
      <c r="F33" s="49" t="str">
        <f>IF(5&gt;$H$5,"",IF(C33="","",IF(OR(MONTH(C33)=1,MONTH(C33)=7),ROUNDDOWN($G$5/$H$5,-1),"")))</f>
        <v/>
      </c>
      <c r="G33" s="49" t="str">
        <f t="shared" si="6"/>
        <v/>
      </c>
      <c r="H33" s="50" t="str">
        <f t="shared" si="7"/>
        <v/>
      </c>
      <c r="I33" s="63"/>
      <c r="J33" s="51" t="str">
        <f>IF($F$5&gt;=73,73,"")</f>
        <v/>
      </c>
      <c r="K33" s="54" t="str">
        <f t="shared" si="8"/>
        <v/>
      </c>
      <c r="L33" s="50" t="str">
        <f t="shared" si="2"/>
        <v/>
      </c>
      <c r="M33" s="49" t="str">
        <f t="shared" si="3"/>
        <v/>
      </c>
      <c r="N33" s="49" t="str">
        <f>IF(13&gt;$H$5,"",IF(K33="","",IF(OR(MONTH(K33)=1,MONTH(K33)=7),ROUNDDOWN($G$5/$H$5,-1),"")))</f>
        <v/>
      </c>
      <c r="O33" s="49" t="str">
        <f t="shared" si="9"/>
        <v/>
      </c>
      <c r="P33" s="50" t="str">
        <f t="shared" si="10"/>
        <v/>
      </c>
    </row>
    <row r="34" spans="1:16" ht="18" customHeight="1">
      <c r="A34" s="78"/>
      <c r="B34" s="51" t="str">
        <f>IF($F$5&gt;=26,26,"")</f>
        <v/>
      </c>
      <c r="C34" s="54" t="str">
        <f t="shared" si="5"/>
        <v/>
      </c>
      <c r="D34" s="50" t="str">
        <f t="shared" si="0"/>
        <v/>
      </c>
      <c r="E34" s="49" t="str">
        <f t="shared" si="11"/>
        <v/>
      </c>
      <c r="F34" s="49" t="str">
        <f t="shared" ref="F34:F38" si="18">IF(5&gt;$H$5,"",IF(C34="","",IF(OR(MONTH(C34)=1,MONTH(C34)=7),ROUNDDOWN($G$5/$H$5,-1),"")))</f>
        <v/>
      </c>
      <c r="G34" s="49" t="str">
        <f t="shared" si="6"/>
        <v/>
      </c>
      <c r="H34" s="50" t="str">
        <f t="shared" si="7"/>
        <v/>
      </c>
      <c r="I34" s="63"/>
      <c r="J34" s="51" t="str">
        <f>IF($F$5&gt;=74,74,"")</f>
        <v/>
      </c>
      <c r="K34" s="54" t="str">
        <f t="shared" si="8"/>
        <v/>
      </c>
      <c r="L34" s="50" t="str">
        <f t="shared" si="2"/>
        <v/>
      </c>
      <c r="M34" s="49" t="str">
        <f t="shared" si="3"/>
        <v/>
      </c>
      <c r="N34" s="49" t="str">
        <f t="shared" ref="N34:N38" si="19">IF(13&gt;$H$5,"",IF(K34="","",IF(OR(MONTH(K34)=1,MONTH(K34)=7),ROUNDDOWN($G$5/$H$5,-1),"")))</f>
        <v/>
      </c>
      <c r="O34" s="49" t="str">
        <f t="shared" si="9"/>
        <v/>
      </c>
      <c r="P34" s="50" t="str">
        <f t="shared" si="10"/>
        <v/>
      </c>
    </row>
    <row r="35" spans="1:16" ht="18" customHeight="1">
      <c r="A35" s="78"/>
      <c r="B35" s="51" t="str">
        <f>IF($F$5&gt;=27,27,"")</f>
        <v/>
      </c>
      <c r="C35" s="54" t="str">
        <f t="shared" si="5"/>
        <v/>
      </c>
      <c r="D35" s="50" t="str">
        <f t="shared" si="0"/>
        <v/>
      </c>
      <c r="E35" s="49" t="str">
        <f t="shared" si="11"/>
        <v/>
      </c>
      <c r="F35" s="49" t="str">
        <f t="shared" si="18"/>
        <v/>
      </c>
      <c r="G35" s="49" t="str">
        <f t="shared" si="6"/>
        <v/>
      </c>
      <c r="H35" s="50" t="str">
        <f t="shared" si="7"/>
        <v/>
      </c>
      <c r="I35" s="63"/>
      <c r="J35" s="51" t="str">
        <f>IF($F$5&gt;=75,75,"")</f>
        <v/>
      </c>
      <c r="K35" s="54" t="str">
        <f t="shared" si="8"/>
        <v/>
      </c>
      <c r="L35" s="50" t="str">
        <f t="shared" si="2"/>
        <v/>
      </c>
      <c r="M35" s="49" t="str">
        <f t="shared" si="3"/>
        <v/>
      </c>
      <c r="N35" s="49" t="str">
        <f t="shared" si="19"/>
        <v/>
      </c>
      <c r="O35" s="49" t="str">
        <f t="shared" si="9"/>
        <v/>
      </c>
      <c r="P35" s="50" t="str">
        <f t="shared" si="10"/>
        <v/>
      </c>
    </row>
    <row r="36" spans="1:16" ht="18" customHeight="1">
      <c r="A36" s="78"/>
      <c r="B36" s="51" t="str">
        <f>IF($F$5&gt;=28,28,"")</f>
        <v/>
      </c>
      <c r="C36" s="54" t="str">
        <f t="shared" si="5"/>
        <v/>
      </c>
      <c r="D36" s="50" t="str">
        <f t="shared" si="0"/>
        <v/>
      </c>
      <c r="E36" s="49" t="str">
        <f t="shared" si="11"/>
        <v/>
      </c>
      <c r="F36" s="49" t="str">
        <f t="shared" si="18"/>
        <v/>
      </c>
      <c r="G36" s="49" t="str">
        <f t="shared" si="6"/>
        <v/>
      </c>
      <c r="H36" s="50" t="str">
        <f t="shared" si="7"/>
        <v/>
      </c>
      <c r="I36" s="63"/>
      <c r="J36" s="51" t="str">
        <f>IF($F$5&gt;=76,76,"")</f>
        <v/>
      </c>
      <c r="K36" s="54" t="str">
        <f t="shared" si="8"/>
        <v/>
      </c>
      <c r="L36" s="50" t="str">
        <f t="shared" si="2"/>
        <v/>
      </c>
      <c r="M36" s="49" t="str">
        <f t="shared" si="3"/>
        <v/>
      </c>
      <c r="N36" s="49" t="str">
        <f t="shared" si="19"/>
        <v/>
      </c>
      <c r="O36" s="49" t="str">
        <f t="shared" si="9"/>
        <v/>
      </c>
      <c r="P36" s="50" t="str">
        <f t="shared" si="10"/>
        <v/>
      </c>
    </row>
    <row r="37" spans="1:16" ht="18" customHeight="1">
      <c r="A37" s="78"/>
      <c r="B37" s="51" t="str">
        <f>IF($F$5&gt;=29,29,"")</f>
        <v/>
      </c>
      <c r="C37" s="54" t="str">
        <f t="shared" si="5"/>
        <v/>
      </c>
      <c r="D37" s="50" t="str">
        <f t="shared" si="0"/>
        <v/>
      </c>
      <c r="E37" s="49" t="str">
        <f t="shared" si="11"/>
        <v/>
      </c>
      <c r="F37" s="49" t="str">
        <f t="shared" si="18"/>
        <v/>
      </c>
      <c r="G37" s="49" t="str">
        <f t="shared" si="6"/>
        <v/>
      </c>
      <c r="H37" s="50" t="str">
        <f t="shared" si="7"/>
        <v/>
      </c>
      <c r="I37" s="63"/>
      <c r="J37" s="51" t="str">
        <f>IF($F$5&gt;=77,77,"")</f>
        <v/>
      </c>
      <c r="K37" s="54" t="str">
        <f t="shared" si="8"/>
        <v/>
      </c>
      <c r="L37" s="50" t="str">
        <f t="shared" si="2"/>
        <v/>
      </c>
      <c r="M37" s="49" t="str">
        <f t="shared" si="3"/>
        <v/>
      </c>
      <c r="N37" s="49" t="str">
        <f t="shared" si="19"/>
        <v/>
      </c>
      <c r="O37" s="49" t="str">
        <f t="shared" si="9"/>
        <v/>
      </c>
      <c r="P37" s="50" t="str">
        <f t="shared" si="10"/>
        <v/>
      </c>
    </row>
    <row r="38" spans="1:16" ht="18" customHeight="1">
      <c r="A38" s="78"/>
      <c r="B38" s="51" t="str">
        <f>IF($F$5&gt;=30,30,"")</f>
        <v/>
      </c>
      <c r="C38" s="54" t="str">
        <f t="shared" si="5"/>
        <v/>
      </c>
      <c r="D38" s="50" t="str">
        <f t="shared" si="0"/>
        <v/>
      </c>
      <c r="E38" s="49" t="str">
        <f t="shared" si="11"/>
        <v/>
      </c>
      <c r="F38" s="49" t="str">
        <f t="shared" si="18"/>
        <v/>
      </c>
      <c r="G38" s="49" t="str">
        <f t="shared" si="6"/>
        <v/>
      </c>
      <c r="H38" s="50" t="str">
        <f t="shared" si="7"/>
        <v/>
      </c>
      <c r="I38" s="63"/>
      <c r="J38" s="51" t="str">
        <f>IF($F$5&gt;=78,78,"")</f>
        <v/>
      </c>
      <c r="K38" s="54" t="str">
        <f t="shared" si="8"/>
        <v/>
      </c>
      <c r="L38" s="50" t="str">
        <f t="shared" si="2"/>
        <v/>
      </c>
      <c r="M38" s="49" t="str">
        <f t="shared" si="3"/>
        <v/>
      </c>
      <c r="N38" s="49" t="str">
        <f t="shared" si="19"/>
        <v/>
      </c>
      <c r="O38" s="49" t="str">
        <f t="shared" si="9"/>
        <v/>
      </c>
      <c r="P38" s="50" t="str">
        <f t="shared" si="10"/>
        <v/>
      </c>
    </row>
    <row r="39" spans="1:16" ht="18" customHeight="1">
      <c r="A39" s="78"/>
      <c r="B39" s="51" t="str">
        <f>IF($F$5&gt;=31,31,"")</f>
        <v/>
      </c>
      <c r="C39" s="54" t="str">
        <f t="shared" si="5"/>
        <v/>
      </c>
      <c r="D39" s="50" t="str">
        <f t="shared" si="0"/>
        <v/>
      </c>
      <c r="E39" s="49" t="str">
        <f t="shared" si="11"/>
        <v/>
      </c>
      <c r="F39" s="49" t="str">
        <f>IF(6&gt;$H$5,"",IF(C39="","",IF(OR(MONTH(C39)=1,MONTH(C39)=7),ROUNDDOWN($G$5/$H$5,-1),"")))</f>
        <v/>
      </c>
      <c r="G39" s="49" t="str">
        <f t="shared" si="6"/>
        <v/>
      </c>
      <c r="H39" s="50" t="str">
        <f t="shared" si="7"/>
        <v/>
      </c>
      <c r="I39" s="63"/>
      <c r="J39" s="51" t="str">
        <f>IF($F$5&gt;=79,79,"")</f>
        <v/>
      </c>
      <c r="K39" s="54" t="str">
        <f t="shared" si="8"/>
        <v/>
      </c>
      <c r="L39" s="50" t="str">
        <f t="shared" si="2"/>
        <v/>
      </c>
      <c r="M39" s="49" t="str">
        <f t="shared" si="3"/>
        <v/>
      </c>
      <c r="N39" s="49" t="str">
        <f>IF(14&gt;$H$5,"",IF(K39="","",IF(OR(MONTH(K39)=1,MONTH(K39)=7),ROUNDDOWN($G$5/$H$5,-1),"")))</f>
        <v/>
      </c>
      <c r="O39" s="49" t="str">
        <f t="shared" si="9"/>
        <v/>
      </c>
      <c r="P39" s="50" t="str">
        <f t="shared" si="10"/>
        <v/>
      </c>
    </row>
    <row r="40" spans="1:16" ht="18" customHeight="1">
      <c r="A40" s="78"/>
      <c r="B40" s="51" t="str">
        <f>IF($F$5&gt;=32,32,"")</f>
        <v/>
      </c>
      <c r="C40" s="54" t="str">
        <f t="shared" si="5"/>
        <v/>
      </c>
      <c r="D40" s="50" t="str">
        <f t="shared" si="0"/>
        <v/>
      </c>
      <c r="E40" s="49" t="str">
        <f t="shared" si="11"/>
        <v/>
      </c>
      <c r="F40" s="49" t="str">
        <f t="shared" ref="F40:F44" si="20">IF(6&gt;$H$5,"",IF(C40="","",IF(OR(MONTH(C40)=1,MONTH(C40)=7),ROUNDDOWN($G$5/$H$5,-1),"")))</f>
        <v/>
      </c>
      <c r="G40" s="49" t="str">
        <f t="shared" si="6"/>
        <v/>
      </c>
      <c r="H40" s="50" t="str">
        <f t="shared" si="7"/>
        <v/>
      </c>
      <c r="I40" s="63"/>
      <c r="J40" s="51" t="str">
        <f>IF($F$5&gt;=80,80,"")</f>
        <v/>
      </c>
      <c r="K40" s="54" t="str">
        <f t="shared" si="8"/>
        <v/>
      </c>
      <c r="L40" s="50" t="str">
        <f t="shared" si="2"/>
        <v/>
      </c>
      <c r="M40" s="49" t="str">
        <f t="shared" si="3"/>
        <v/>
      </c>
      <c r="N40" s="49" t="str">
        <f t="shared" ref="N40:N44" si="21">IF(14&gt;$H$5,"",IF(K40="","",IF(OR(MONTH(K40)=1,MONTH(K40)=7),ROUNDDOWN($G$5/$H$5,-1),"")))</f>
        <v/>
      </c>
      <c r="O40" s="49" t="str">
        <f t="shared" si="9"/>
        <v/>
      </c>
      <c r="P40" s="50" t="str">
        <f t="shared" si="10"/>
        <v/>
      </c>
    </row>
    <row r="41" spans="1:16" ht="18" customHeight="1">
      <c r="A41" s="78"/>
      <c r="B41" s="51" t="str">
        <f>IF($F$5&gt;=33,33,"")</f>
        <v/>
      </c>
      <c r="C41" s="54" t="str">
        <f t="shared" si="5"/>
        <v/>
      </c>
      <c r="D41" s="50" t="str">
        <f t="shared" si="0"/>
        <v/>
      </c>
      <c r="E41" s="49" t="str">
        <f t="shared" si="11"/>
        <v/>
      </c>
      <c r="F41" s="49" t="str">
        <f t="shared" si="20"/>
        <v/>
      </c>
      <c r="G41" s="49" t="str">
        <f t="shared" si="6"/>
        <v/>
      </c>
      <c r="H41" s="50" t="str">
        <f t="shared" si="7"/>
        <v/>
      </c>
      <c r="I41" s="63"/>
      <c r="J41" s="51" t="str">
        <f>IF($F$5&gt;=81,81,"")</f>
        <v/>
      </c>
      <c r="K41" s="54" t="str">
        <f t="shared" si="8"/>
        <v/>
      </c>
      <c r="L41" s="50" t="str">
        <f t="shared" si="2"/>
        <v/>
      </c>
      <c r="M41" s="49" t="str">
        <f t="shared" si="3"/>
        <v/>
      </c>
      <c r="N41" s="49" t="str">
        <f t="shared" si="21"/>
        <v/>
      </c>
      <c r="O41" s="49" t="str">
        <f t="shared" si="9"/>
        <v/>
      </c>
      <c r="P41" s="50" t="str">
        <f t="shared" si="10"/>
        <v/>
      </c>
    </row>
    <row r="42" spans="1:16" ht="18" customHeight="1">
      <c r="A42" s="78"/>
      <c r="B42" s="51" t="str">
        <f>IF($F$5&gt;=34,34,"")</f>
        <v/>
      </c>
      <c r="C42" s="54" t="str">
        <f t="shared" si="5"/>
        <v/>
      </c>
      <c r="D42" s="50" t="str">
        <f t="shared" si="0"/>
        <v/>
      </c>
      <c r="E42" s="49" t="str">
        <f t="shared" si="11"/>
        <v/>
      </c>
      <c r="F42" s="49" t="str">
        <f t="shared" si="20"/>
        <v/>
      </c>
      <c r="G42" s="49" t="str">
        <f t="shared" si="6"/>
        <v/>
      </c>
      <c r="H42" s="50" t="str">
        <f t="shared" si="7"/>
        <v/>
      </c>
      <c r="I42" s="63"/>
      <c r="J42" s="51" t="str">
        <f>IF($F$5&gt;=82,82,"")</f>
        <v/>
      </c>
      <c r="K42" s="54" t="str">
        <f t="shared" si="8"/>
        <v/>
      </c>
      <c r="L42" s="50" t="str">
        <f t="shared" si="2"/>
        <v/>
      </c>
      <c r="M42" s="49" t="str">
        <f t="shared" si="3"/>
        <v/>
      </c>
      <c r="N42" s="49" t="str">
        <f t="shared" si="21"/>
        <v/>
      </c>
      <c r="O42" s="49" t="str">
        <f t="shared" si="9"/>
        <v/>
      </c>
      <c r="P42" s="50" t="str">
        <f t="shared" si="10"/>
        <v/>
      </c>
    </row>
    <row r="43" spans="1:16" ht="18" customHeight="1">
      <c r="A43" s="78"/>
      <c r="B43" s="51" t="str">
        <f>IF($F$5&gt;=35,35,"")</f>
        <v/>
      </c>
      <c r="C43" s="54" t="str">
        <f t="shared" si="5"/>
        <v/>
      </c>
      <c r="D43" s="50" t="str">
        <f t="shared" si="0"/>
        <v/>
      </c>
      <c r="E43" s="49" t="str">
        <f t="shared" si="11"/>
        <v/>
      </c>
      <c r="F43" s="49" t="str">
        <f t="shared" si="20"/>
        <v/>
      </c>
      <c r="G43" s="49" t="str">
        <f t="shared" si="6"/>
        <v/>
      </c>
      <c r="H43" s="50" t="str">
        <f t="shared" si="7"/>
        <v/>
      </c>
      <c r="I43" s="63"/>
      <c r="J43" s="51" t="str">
        <f>IF($F$5&gt;=83,83,"")</f>
        <v/>
      </c>
      <c r="K43" s="54" t="str">
        <f t="shared" si="8"/>
        <v/>
      </c>
      <c r="L43" s="50" t="str">
        <f t="shared" si="2"/>
        <v/>
      </c>
      <c r="M43" s="49" t="str">
        <f t="shared" si="3"/>
        <v/>
      </c>
      <c r="N43" s="49" t="str">
        <f t="shared" si="21"/>
        <v/>
      </c>
      <c r="O43" s="49" t="str">
        <f t="shared" si="9"/>
        <v/>
      </c>
      <c r="P43" s="50" t="str">
        <f t="shared" si="10"/>
        <v/>
      </c>
    </row>
    <row r="44" spans="1:16" ht="18" customHeight="1">
      <c r="A44" s="78"/>
      <c r="B44" s="51" t="str">
        <f>IF($F$5&gt;=36,36,"")</f>
        <v/>
      </c>
      <c r="C44" s="54" t="str">
        <f t="shared" si="5"/>
        <v/>
      </c>
      <c r="D44" s="50" t="str">
        <f t="shared" si="0"/>
        <v/>
      </c>
      <c r="E44" s="49" t="str">
        <f t="shared" si="11"/>
        <v/>
      </c>
      <c r="F44" s="49" t="str">
        <f t="shared" si="20"/>
        <v/>
      </c>
      <c r="G44" s="49" t="str">
        <f t="shared" si="6"/>
        <v/>
      </c>
      <c r="H44" s="50" t="str">
        <f t="shared" si="7"/>
        <v/>
      </c>
      <c r="I44" s="63"/>
      <c r="J44" s="51" t="str">
        <f>IF($F$5&gt;=84,84,"")</f>
        <v/>
      </c>
      <c r="K44" s="54" t="str">
        <f t="shared" si="8"/>
        <v/>
      </c>
      <c r="L44" s="50" t="str">
        <f t="shared" si="2"/>
        <v/>
      </c>
      <c r="M44" s="49" t="str">
        <f t="shared" si="3"/>
        <v/>
      </c>
      <c r="N44" s="49" t="str">
        <f t="shared" si="21"/>
        <v/>
      </c>
      <c r="O44" s="49" t="str">
        <f t="shared" si="9"/>
        <v/>
      </c>
      <c r="P44" s="50" t="str">
        <f t="shared" si="10"/>
        <v/>
      </c>
    </row>
    <row r="45" spans="1:16" ht="18" customHeight="1">
      <c r="A45" s="78"/>
      <c r="B45" s="51" t="str">
        <f>IF($F$5&gt;=37,37,"")</f>
        <v/>
      </c>
      <c r="C45" s="54" t="str">
        <f t="shared" si="5"/>
        <v/>
      </c>
      <c r="D45" s="50" t="str">
        <f t="shared" si="0"/>
        <v/>
      </c>
      <c r="E45" s="49" t="str">
        <f t="shared" si="11"/>
        <v/>
      </c>
      <c r="F45" s="49" t="str">
        <f>IF(7&gt;$H$5,"",IF(C45="","",IF(OR(MONTH(C45)=1,MONTH(C45)=7),ROUNDDOWN($G$5/$H$5,-1),"")))</f>
        <v/>
      </c>
      <c r="G45" s="49" t="str">
        <f t="shared" si="6"/>
        <v/>
      </c>
      <c r="H45" s="50" t="str">
        <f t="shared" si="7"/>
        <v/>
      </c>
      <c r="I45" s="63"/>
      <c r="J45" s="51" t="str">
        <f>IF($F$5&gt;=85,85,"")</f>
        <v/>
      </c>
      <c r="K45" s="54" t="str">
        <f t="shared" si="8"/>
        <v/>
      </c>
      <c r="L45" s="50" t="str">
        <f t="shared" si="2"/>
        <v/>
      </c>
      <c r="M45" s="49" t="str">
        <f t="shared" si="3"/>
        <v/>
      </c>
      <c r="N45" s="49" t="str">
        <f>IF(15&gt;$H$5,"",IF(K45="","",IF(OR(MONTH(K45)=1,MONTH(K45)=7),ROUNDDOWN($G$5/$H$5,-1),"")))</f>
        <v/>
      </c>
      <c r="O45" s="49" t="str">
        <f t="shared" si="9"/>
        <v/>
      </c>
      <c r="P45" s="50" t="str">
        <f t="shared" si="10"/>
        <v/>
      </c>
    </row>
    <row r="46" spans="1:16" ht="18" customHeight="1">
      <c r="A46" s="78"/>
      <c r="B46" s="51" t="str">
        <f>IF($F$5&gt;=38,38,"")</f>
        <v/>
      </c>
      <c r="C46" s="54" t="str">
        <f t="shared" si="5"/>
        <v/>
      </c>
      <c r="D46" s="50" t="str">
        <f t="shared" si="0"/>
        <v/>
      </c>
      <c r="E46" s="49" t="str">
        <f t="shared" si="11"/>
        <v/>
      </c>
      <c r="F46" s="49" t="str">
        <f t="shared" ref="F46:F50" si="22">IF(7&gt;$H$5,"",IF(C46="","",IF(OR(MONTH(C46)=1,MONTH(C46)=7),ROUNDDOWN($G$5/$H$5,-1),"")))</f>
        <v/>
      </c>
      <c r="G46" s="49" t="str">
        <f t="shared" si="6"/>
        <v/>
      </c>
      <c r="H46" s="50" t="str">
        <f t="shared" si="7"/>
        <v/>
      </c>
      <c r="I46" s="63"/>
      <c r="J46" s="51" t="str">
        <f>IF($F$5&gt;=86,86,"")</f>
        <v/>
      </c>
      <c r="K46" s="54" t="str">
        <f t="shared" si="8"/>
        <v/>
      </c>
      <c r="L46" s="50" t="str">
        <f t="shared" si="2"/>
        <v/>
      </c>
      <c r="M46" s="49" t="str">
        <f t="shared" si="3"/>
        <v/>
      </c>
      <c r="N46" s="49" t="str">
        <f t="shared" ref="N46:N50" si="23">IF(15&gt;$H$5,"",IF(K46="","",IF(OR(MONTH(K46)=1,MONTH(K46)=7),ROUNDDOWN($G$5/$H$5,-1),"")))</f>
        <v/>
      </c>
      <c r="O46" s="49" t="str">
        <f t="shared" si="9"/>
        <v/>
      </c>
      <c r="P46" s="50" t="str">
        <f t="shared" si="10"/>
        <v/>
      </c>
    </row>
    <row r="47" spans="1:16" ht="18" customHeight="1">
      <c r="A47" s="78"/>
      <c r="B47" s="51" t="str">
        <f>IF($F$5&gt;=39,39,"")</f>
        <v/>
      </c>
      <c r="C47" s="54" t="str">
        <f t="shared" si="5"/>
        <v/>
      </c>
      <c r="D47" s="50" t="str">
        <f t="shared" si="0"/>
        <v/>
      </c>
      <c r="E47" s="49" t="str">
        <f t="shared" si="11"/>
        <v/>
      </c>
      <c r="F47" s="49" t="str">
        <f t="shared" si="22"/>
        <v/>
      </c>
      <c r="G47" s="49" t="str">
        <f t="shared" si="6"/>
        <v/>
      </c>
      <c r="H47" s="50" t="str">
        <f t="shared" si="7"/>
        <v/>
      </c>
      <c r="I47" s="63"/>
      <c r="J47" s="51" t="str">
        <f>IF($F$5&gt;=87,87,"")</f>
        <v/>
      </c>
      <c r="K47" s="54" t="str">
        <f t="shared" si="8"/>
        <v/>
      </c>
      <c r="L47" s="50" t="str">
        <f t="shared" si="2"/>
        <v/>
      </c>
      <c r="M47" s="49" t="str">
        <f t="shared" si="3"/>
        <v/>
      </c>
      <c r="N47" s="49" t="str">
        <f t="shared" si="23"/>
        <v/>
      </c>
      <c r="O47" s="49" t="str">
        <f t="shared" si="9"/>
        <v/>
      </c>
      <c r="P47" s="50" t="str">
        <f t="shared" si="10"/>
        <v/>
      </c>
    </row>
    <row r="48" spans="1:16" ht="18" customHeight="1">
      <c r="A48" s="78"/>
      <c r="B48" s="51" t="str">
        <f>IF($F$5&gt;=40,40,"")</f>
        <v/>
      </c>
      <c r="C48" s="54" t="str">
        <f t="shared" si="5"/>
        <v/>
      </c>
      <c r="D48" s="50" t="str">
        <f t="shared" si="0"/>
        <v/>
      </c>
      <c r="E48" s="49" t="str">
        <f t="shared" si="11"/>
        <v/>
      </c>
      <c r="F48" s="49" t="str">
        <f t="shared" si="22"/>
        <v/>
      </c>
      <c r="G48" s="49" t="str">
        <f t="shared" si="6"/>
        <v/>
      </c>
      <c r="H48" s="50" t="str">
        <f t="shared" si="7"/>
        <v/>
      </c>
      <c r="I48" s="63"/>
      <c r="J48" s="51" t="str">
        <f>IF($F$5&gt;=88,88,"")</f>
        <v/>
      </c>
      <c r="K48" s="54" t="str">
        <f t="shared" si="8"/>
        <v/>
      </c>
      <c r="L48" s="50" t="str">
        <f t="shared" si="2"/>
        <v/>
      </c>
      <c r="M48" s="49" t="str">
        <f t="shared" si="3"/>
        <v/>
      </c>
      <c r="N48" s="49" t="str">
        <f t="shared" si="23"/>
        <v/>
      </c>
      <c r="O48" s="49" t="str">
        <f t="shared" si="9"/>
        <v/>
      </c>
      <c r="P48" s="50" t="str">
        <f t="shared" si="10"/>
        <v/>
      </c>
    </row>
    <row r="49" spans="1:16" ht="18" customHeight="1">
      <c r="A49" s="78"/>
      <c r="B49" s="51" t="str">
        <f>IF($F$5&gt;=41,41,"")</f>
        <v/>
      </c>
      <c r="C49" s="54" t="str">
        <f t="shared" si="5"/>
        <v/>
      </c>
      <c r="D49" s="50" t="str">
        <f t="shared" si="0"/>
        <v/>
      </c>
      <c r="E49" s="49" t="str">
        <f t="shared" si="11"/>
        <v/>
      </c>
      <c r="F49" s="49" t="str">
        <f t="shared" si="22"/>
        <v/>
      </c>
      <c r="G49" s="49" t="str">
        <f t="shared" si="6"/>
        <v/>
      </c>
      <c r="H49" s="50" t="str">
        <f t="shared" si="7"/>
        <v/>
      </c>
      <c r="I49" s="63"/>
      <c r="J49" s="51" t="str">
        <f>IF($F$5&gt;=89,89,"")</f>
        <v/>
      </c>
      <c r="K49" s="54" t="str">
        <f t="shared" si="8"/>
        <v/>
      </c>
      <c r="L49" s="50" t="str">
        <f t="shared" si="2"/>
        <v/>
      </c>
      <c r="M49" s="49" t="str">
        <f t="shared" si="3"/>
        <v/>
      </c>
      <c r="N49" s="49" t="str">
        <f t="shared" si="23"/>
        <v/>
      </c>
      <c r="O49" s="49" t="str">
        <f t="shared" si="9"/>
        <v/>
      </c>
      <c r="P49" s="50" t="str">
        <f t="shared" si="10"/>
        <v/>
      </c>
    </row>
    <row r="50" spans="1:16" ht="18" customHeight="1">
      <c r="A50" s="78"/>
      <c r="B50" s="51" t="str">
        <f>IF($F$5&gt;=42,42,"")</f>
        <v/>
      </c>
      <c r="C50" s="54" t="str">
        <f t="shared" si="5"/>
        <v/>
      </c>
      <c r="D50" s="50" t="str">
        <f t="shared" si="0"/>
        <v/>
      </c>
      <c r="E50" s="49" t="str">
        <f t="shared" si="11"/>
        <v/>
      </c>
      <c r="F50" s="49" t="str">
        <f t="shared" si="22"/>
        <v/>
      </c>
      <c r="G50" s="49" t="str">
        <f t="shared" si="6"/>
        <v/>
      </c>
      <c r="H50" s="50" t="str">
        <f t="shared" si="7"/>
        <v/>
      </c>
      <c r="I50" s="63"/>
      <c r="J50" s="51" t="str">
        <f>IF($F$5&gt;=90,90,"")</f>
        <v/>
      </c>
      <c r="K50" s="54" t="str">
        <f t="shared" si="8"/>
        <v/>
      </c>
      <c r="L50" s="50" t="str">
        <f t="shared" si="2"/>
        <v/>
      </c>
      <c r="M50" s="49" t="str">
        <f t="shared" si="3"/>
        <v/>
      </c>
      <c r="N50" s="49" t="str">
        <f t="shared" si="23"/>
        <v/>
      </c>
      <c r="O50" s="49" t="str">
        <f t="shared" si="9"/>
        <v/>
      </c>
      <c r="P50" s="50" t="str">
        <f t="shared" si="10"/>
        <v/>
      </c>
    </row>
    <row r="51" spans="1:16" ht="18" customHeight="1">
      <c r="A51" s="78"/>
      <c r="B51" s="51" t="str">
        <f>IF($F$5&gt;=43,43,"")</f>
        <v/>
      </c>
      <c r="C51" s="54" t="str">
        <f t="shared" si="5"/>
        <v/>
      </c>
      <c r="D51" s="50" t="str">
        <f t="shared" si="0"/>
        <v/>
      </c>
      <c r="E51" s="49" t="str">
        <f t="shared" si="11"/>
        <v/>
      </c>
      <c r="F51" s="49" t="str">
        <f>IF(8&gt;$H$5,"",IF(C51="","",IF(OR(MONTH(C51)=1,MONTH(C51)=7),ROUNDDOWN($G$5/$H$5,-1),"")))</f>
        <v/>
      </c>
      <c r="G51" s="49" t="str">
        <f t="shared" si="6"/>
        <v/>
      </c>
      <c r="H51" s="50" t="str">
        <f t="shared" si="7"/>
        <v/>
      </c>
      <c r="I51" s="63"/>
      <c r="J51" s="51" t="str">
        <f>IF($F$5&gt;=91,91,"")</f>
        <v/>
      </c>
      <c r="K51" s="54" t="str">
        <f t="shared" si="8"/>
        <v/>
      </c>
      <c r="L51" s="50" t="str">
        <f t="shared" si="2"/>
        <v/>
      </c>
      <c r="M51" s="49" t="str">
        <f t="shared" si="3"/>
        <v/>
      </c>
      <c r="N51" s="49" t="str">
        <f>IF(16&gt;$H$5,"",IF(K51="","",IF(OR(MONTH(K51)=1,MONTH(K51)=7),ROUNDDOWN($G$5/$H$5,-1),"")))</f>
        <v/>
      </c>
      <c r="O51" s="49" t="str">
        <f t="shared" si="9"/>
        <v/>
      </c>
      <c r="P51" s="50" t="str">
        <f t="shared" si="10"/>
        <v/>
      </c>
    </row>
    <row r="52" spans="1:16" ht="18" customHeight="1">
      <c r="A52" s="78"/>
      <c r="B52" s="51" t="str">
        <f>IF($F$5&gt;=44,44,"")</f>
        <v/>
      </c>
      <c r="C52" s="54" t="str">
        <f t="shared" si="5"/>
        <v/>
      </c>
      <c r="D52" s="50" t="str">
        <f t="shared" si="0"/>
        <v/>
      </c>
      <c r="E52" s="49" t="str">
        <f t="shared" si="11"/>
        <v/>
      </c>
      <c r="F52" s="49" t="str">
        <f t="shared" ref="F52:F56" si="24">IF(8&gt;$H$5,"",IF(C52="","",IF(OR(MONTH(C52)=1,MONTH(C52)=7),ROUNDDOWN($G$5/$H$5,-1),"")))</f>
        <v/>
      </c>
      <c r="G52" s="49" t="str">
        <f t="shared" si="6"/>
        <v/>
      </c>
      <c r="H52" s="50" t="str">
        <f t="shared" si="7"/>
        <v/>
      </c>
      <c r="I52" s="63"/>
      <c r="J52" s="51" t="str">
        <f>IF($F$5&gt;=92,92,"")</f>
        <v/>
      </c>
      <c r="K52" s="54" t="str">
        <f t="shared" si="8"/>
        <v/>
      </c>
      <c r="L52" s="50" t="str">
        <f t="shared" si="2"/>
        <v/>
      </c>
      <c r="M52" s="49" t="str">
        <f t="shared" si="3"/>
        <v/>
      </c>
      <c r="N52" s="49" t="str">
        <f t="shared" ref="N52:N56" si="25">IF(16&gt;$H$5,"",IF(K52="","",IF(OR(MONTH(K52)=1,MONTH(K52)=7),ROUNDDOWN($G$5/$H$5,-1),"")))</f>
        <v/>
      </c>
      <c r="O52" s="49" t="str">
        <f t="shared" si="9"/>
        <v/>
      </c>
      <c r="P52" s="50" t="str">
        <f t="shared" si="10"/>
        <v/>
      </c>
    </row>
    <row r="53" spans="1:16" ht="18" customHeight="1">
      <c r="A53" s="78"/>
      <c r="B53" s="51" t="str">
        <f>IF($F$5&gt;=45,45,"")</f>
        <v/>
      </c>
      <c r="C53" s="54" t="str">
        <f t="shared" si="5"/>
        <v/>
      </c>
      <c r="D53" s="50" t="str">
        <f t="shared" si="0"/>
        <v/>
      </c>
      <c r="E53" s="49" t="str">
        <f t="shared" si="11"/>
        <v/>
      </c>
      <c r="F53" s="49" t="str">
        <f t="shared" si="24"/>
        <v/>
      </c>
      <c r="G53" s="49" t="str">
        <f t="shared" si="6"/>
        <v/>
      </c>
      <c r="H53" s="50" t="str">
        <f t="shared" si="7"/>
        <v/>
      </c>
      <c r="I53" s="63"/>
      <c r="J53" s="51" t="str">
        <f>IF($F$5&gt;=93,93,"")</f>
        <v/>
      </c>
      <c r="K53" s="54" t="str">
        <f t="shared" si="8"/>
        <v/>
      </c>
      <c r="L53" s="50" t="str">
        <f t="shared" si="2"/>
        <v/>
      </c>
      <c r="M53" s="49" t="str">
        <f t="shared" si="3"/>
        <v/>
      </c>
      <c r="N53" s="49" t="str">
        <f t="shared" si="25"/>
        <v/>
      </c>
      <c r="O53" s="49" t="str">
        <f t="shared" si="9"/>
        <v/>
      </c>
      <c r="P53" s="50" t="str">
        <f t="shared" si="10"/>
        <v/>
      </c>
    </row>
    <row r="54" spans="1:16" ht="18" customHeight="1">
      <c r="A54" s="78"/>
      <c r="B54" s="51" t="str">
        <f>IF($F$5&gt;=46,46,"")</f>
        <v/>
      </c>
      <c r="C54" s="54" t="str">
        <f t="shared" si="5"/>
        <v/>
      </c>
      <c r="D54" s="50" t="str">
        <f t="shared" si="0"/>
        <v/>
      </c>
      <c r="E54" s="49" t="str">
        <f t="shared" si="11"/>
        <v/>
      </c>
      <c r="F54" s="49" t="str">
        <f t="shared" si="24"/>
        <v/>
      </c>
      <c r="G54" s="49" t="str">
        <f t="shared" si="6"/>
        <v/>
      </c>
      <c r="H54" s="50" t="str">
        <f t="shared" si="7"/>
        <v/>
      </c>
      <c r="I54" s="63"/>
      <c r="J54" s="51" t="str">
        <f>IF($F$5&gt;=94,94,"")</f>
        <v/>
      </c>
      <c r="K54" s="54" t="str">
        <f t="shared" si="8"/>
        <v/>
      </c>
      <c r="L54" s="50" t="str">
        <f t="shared" si="2"/>
        <v/>
      </c>
      <c r="M54" s="49" t="str">
        <f t="shared" si="3"/>
        <v/>
      </c>
      <c r="N54" s="49" t="str">
        <f t="shared" si="25"/>
        <v/>
      </c>
      <c r="O54" s="49" t="str">
        <f t="shared" si="9"/>
        <v/>
      </c>
      <c r="P54" s="50" t="str">
        <f t="shared" si="10"/>
        <v/>
      </c>
    </row>
    <row r="55" spans="1:16" ht="18" customHeight="1">
      <c r="A55" s="78"/>
      <c r="B55" s="51" t="str">
        <f>IF($F$5&gt;=47,47,"")</f>
        <v/>
      </c>
      <c r="C55" s="54" t="str">
        <f t="shared" si="5"/>
        <v/>
      </c>
      <c r="D55" s="50" t="str">
        <f t="shared" si="0"/>
        <v/>
      </c>
      <c r="E55" s="49" t="str">
        <f t="shared" si="11"/>
        <v/>
      </c>
      <c r="F55" s="49" t="str">
        <f t="shared" si="24"/>
        <v/>
      </c>
      <c r="G55" s="49" t="str">
        <f t="shared" si="6"/>
        <v/>
      </c>
      <c r="H55" s="50" t="str">
        <f t="shared" si="7"/>
        <v/>
      </c>
      <c r="I55" s="63"/>
      <c r="J55" s="51" t="str">
        <f>IF($F$5&gt;=95,95,"")</f>
        <v/>
      </c>
      <c r="K55" s="54" t="str">
        <f t="shared" si="8"/>
        <v/>
      </c>
      <c r="L55" s="50" t="str">
        <f t="shared" si="2"/>
        <v/>
      </c>
      <c r="M55" s="49" t="str">
        <f t="shared" si="3"/>
        <v/>
      </c>
      <c r="N55" s="49" t="str">
        <f t="shared" si="25"/>
        <v/>
      </c>
      <c r="O55" s="49" t="str">
        <f t="shared" si="9"/>
        <v/>
      </c>
      <c r="P55" s="50" t="str">
        <f t="shared" si="10"/>
        <v/>
      </c>
    </row>
    <row r="56" spans="1:16" ht="18" customHeight="1">
      <c r="A56" s="78"/>
      <c r="B56" s="51" t="str">
        <f>IF($F$5&gt;=48,48,"")</f>
        <v/>
      </c>
      <c r="C56" s="54" t="str">
        <f t="shared" si="5"/>
        <v/>
      </c>
      <c r="D56" s="50" t="str">
        <f t="shared" si="0"/>
        <v/>
      </c>
      <c r="E56" s="49" t="str">
        <f t="shared" si="11"/>
        <v/>
      </c>
      <c r="F56" s="49" t="str">
        <f t="shared" si="24"/>
        <v/>
      </c>
      <c r="G56" s="49" t="str">
        <f t="shared" si="6"/>
        <v/>
      </c>
      <c r="H56" s="50" t="str">
        <f t="shared" si="7"/>
        <v/>
      </c>
      <c r="I56" s="63"/>
      <c r="J56" s="51" t="str">
        <f>IF($F$5&gt;=96,96,"")</f>
        <v/>
      </c>
      <c r="K56" s="54" t="str">
        <f t="shared" si="8"/>
        <v/>
      </c>
      <c r="L56" s="50" t="str">
        <f t="shared" si="2"/>
        <v/>
      </c>
      <c r="M56" s="49" t="str">
        <f t="shared" si="3"/>
        <v/>
      </c>
      <c r="N56" s="49" t="str">
        <f t="shared" si="25"/>
        <v/>
      </c>
      <c r="O56" s="49" t="str">
        <f t="shared" si="9"/>
        <v/>
      </c>
      <c r="P56" s="50" t="str">
        <f t="shared" si="10"/>
        <v/>
      </c>
    </row>
    <row r="57" spans="1:16" ht="18" customHeight="1">
      <c r="A57" s="78"/>
      <c r="B57" s="56"/>
      <c r="C57" s="60" t="str">
        <f>IF(F5&gt;48,"小　計","合　計")</f>
        <v>合　計</v>
      </c>
      <c r="D57" s="57">
        <f>SUM(D9:D56)</f>
        <v>0</v>
      </c>
      <c r="E57" s="57">
        <f>SUM(E9:E56)</f>
        <v>0</v>
      </c>
      <c r="F57" s="57">
        <f t="shared" ref="F57:G57" si="26">SUM(F9:F56)</f>
        <v>0</v>
      </c>
      <c r="G57" s="57">
        <f t="shared" si="26"/>
        <v>0</v>
      </c>
      <c r="H57" s="56"/>
      <c r="I57" s="63"/>
      <c r="J57" s="51"/>
      <c r="K57" s="55" t="str">
        <f>IF(F5&gt;48,"小　計","")</f>
        <v/>
      </c>
      <c r="L57" s="50" t="str">
        <f t="shared" ref="L57:O57" si="27">IF($F$5&gt;48,SUM(L9:L56),"")</f>
        <v/>
      </c>
      <c r="M57" s="50" t="str">
        <f t="shared" si="27"/>
        <v/>
      </c>
      <c r="N57" s="50" t="str">
        <f t="shared" si="27"/>
        <v/>
      </c>
      <c r="O57" s="50" t="str">
        <f t="shared" si="27"/>
        <v/>
      </c>
      <c r="P57" s="51"/>
    </row>
    <row r="58" spans="1:16" ht="18" customHeight="1">
      <c r="A58" s="78"/>
      <c r="B58" s="13"/>
      <c r="C58" s="13"/>
      <c r="D58" s="86"/>
      <c r="E58" s="86"/>
      <c r="F58" s="13"/>
      <c r="G58" s="86"/>
      <c r="H58" s="13"/>
      <c r="I58" s="63"/>
      <c r="J58" s="51"/>
      <c r="K58" s="55" t="str">
        <f>IF(F5&gt;48,"合　計","")</f>
        <v/>
      </c>
      <c r="L58" s="50" t="str">
        <f t="shared" ref="L58:M58" si="28">IF($F$5&gt;48,+D57+L57,"")</f>
        <v/>
      </c>
      <c r="M58" s="50" t="str">
        <f t="shared" si="28"/>
        <v/>
      </c>
      <c r="N58" s="50" t="str">
        <f t="shared" ref="N58" si="29">IF($F$5&gt;48,+F57+N57,"")</f>
        <v/>
      </c>
      <c r="O58" s="50" t="str">
        <f t="shared" ref="O58" si="30">IF($F$5&gt;48,+G57+O57,"")</f>
        <v/>
      </c>
      <c r="P58" s="51"/>
    </row>
  </sheetData>
  <sheetProtection password="9301" sheet="1" objects="1" scenarios="1" selectLockedCells="1"/>
  <mergeCells count="16">
    <mergeCell ref="J7:J8"/>
    <mergeCell ref="K7:K8"/>
    <mergeCell ref="L7:L8"/>
    <mergeCell ref="M7:O7"/>
    <mergeCell ref="P7:P8"/>
    <mergeCell ref="K3:P3"/>
    <mergeCell ref="B1:P1"/>
    <mergeCell ref="C3:C4"/>
    <mergeCell ref="D3:D4"/>
    <mergeCell ref="J3:J4"/>
    <mergeCell ref="E3:F3"/>
    <mergeCell ref="B7:B8"/>
    <mergeCell ref="C7:C8"/>
    <mergeCell ref="D7:D8"/>
    <mergeCell ref="E7:G7"/>
    <mergeCell ref="H7:H8"/>
  </mergeCells>
  <phoneticPr fontId="2"/>
  <conditionalFormatting sqref="F5">
    <cfRule type="expression" priority="6">
      <formula>$C$42&lt;800000</formula>
    </cfRule>
  </conditionalFormatting>
  <conditionalFormatting sqref="J57:P58">
    <cfRule type="expression" dxfId="0" priority="2">
      <formula>$F$5&gt;48</formula>
    </cfRule>
  </conditionalFormatting>
  <pageMargins left="0.47244094488188981" right="0.31496062992125984" top="0.59055118110236227" bottom="0.59055118110236227" header="0.31496062992125984" footer="0.31496062992125984"/>
  <pageSetup paperSize="9" scale="7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計算結果</vt:lpstr>
      <vt:lpstr>計算結果!Print_Area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2021-02-26T01:49:59Z</dcterms:modified>
</cp:coreProperties>
</file>